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0"/>
  <workbookPr/>
  <mc:AlternateContent xmlns:mc="http://schemas.openxmlformats.org/markup-compatibility/2006">
    <mc:Choice Requires="x15">
      <x15ac:absPath xmlns:x15ac="http://schemas.microsoft.com/office/spreadsheetml/2010/11/ac" url="C:\Users\madse\Desktop\"/>
    </mc:Choice>
  </mc:AlternateContent>
  <xr:revisionPtr revIDLastSave="1" documentId="13_ncr:1_{9B6BFE19-E572-40D9-B755-808D1D7DF0E8}" xr6:coauthVersionLast="47" xr6:coauthVersionMax="47" xr10:uidLastSave="{74005837-A805-40E1-B37E-84245A06F544}"/>
  <bookViews>
    <workbookView xWindow="-120" yWindow="-120" windowWidth="38640" windowHeight="21120" firstSheet="5" activeTab="5" xr2:uid="{6CB2530C-AC4C-4365-A419-05F4685EFBEC}"/>
  </bookViews>
  <sheets>
    <sheet name="2026" sheetId="11" r:id="rId1"/>
    <sheet name="Skigruppa" sheetId="9" r:id="rId2"/>
    <sheet name="Junior" sheetId="6" r:id="rId3"/>
    <sheet name="Damer" sheetId="8" r:id="rId4"/>
    <sheet name="Leirsund 2" sheetId="7" r:id="rId5"/>
    <sheet name="A-lag" sheetId="2" r:id="rId6"/>
    <sheet name="Svømming" sheetId="10" r:id="rId7"/>
    <sheet name="eSport" sheetId="4" r:id="rId8"/>
    <sheet name="Futsal" sheetId="5" r:id="rId9"/>
    <sheet name="Drift" sheetId="3" r:id="rId10"/>
    <sheet name="Adm" sheetId="1" r:id="rId11"/>
    <sheet name="2025" sheetId="13" r:id="rId12"/>
  </sheets>
  <externalReferences>
    <externalReference r:id="rId1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4" i="1"/>
  <c r="G15" i="1"/>
  <c r="G16" i="1"/>
  <c r="G17" i="1"/>
  <c r="G18" i="1"/>
  <c r="G19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2" i="1"/>
  <c r="C70" i="11"/>
  <c r="D70" i="11"/>
  <c r="E70" i="11"/>
  <c r="F70" i="11"/>
  <c r="G70" i="11"/>
  <c r="B70" i="11" s="1"/>
  <c r="H70" i="11"/>
  <c r="I70" i="11"/>
  <c r="J70" i="11"/>
  <c r="K70" i="11"/>
  <c r="L70" i="11"/>
  <c r="L69" i="11"/>
  <c r="K69" i="11"/>
  <c r="J69" i="11"/>
  <c r="I69" i="11"/>
  <c r="H69" i="11"/>
  <c r="G69" i="11"/>
  <c r="F69" i="11"/>
  <c r="E69" i="11"/>
  <c r="D69" i="11"/>
  <c r="C69" i="11"/>
  <c r="F53" i="1"/>
  <c r="F51" i="1"/>
  <c r="F42" i="1"/>
  <c r="G45" i="1"/>
  <c r="G46" i="1"/>
  <c r="G47" i="1"/>
  <c r="G49" i="1"/>
  <c r="G51" i="1"/>
  <c r="G53" i="1"/>
  <c r="G55" i="1"/>
  <c r="G56" i="1"/>
  <c r="C66" i="11"/>
  <c r="D66" i="11"/>
  <c r="E66" i="11"/>
  <c r="F66" i="11"/>
  <c r="H66" i="11"/>
  <c r="I66" i="11"/>
  <c r="J66" i="11"/>
  <c r="K66" i="11"/>
  <c r="F38" i="3"/>
  <c r="G38" i="3" s="1"/>
  <c r="F29" i="4"/>
  <c r="F22" i="10"/>
  <c r="F34" i="2"/>
  <c r="F30" i="7"/>
  <c r="F30" i="8"/>
  <c r="F30" i="6"/>
  <c r="F52" i="9"/>
  <c r="G52" i="9" s="1"/>
  <c r="G35" i="3"/>
  <c r="G26" i="3"/>
  <c r="G20" i="9"/>
  <c r="B64" i="13"/>
  <c r="B63" i="13"/>
  <c r="A21" i="13" a="1"/>
  <c r="G56" i="13" s="1"/>
  <c r="L15" i="13"/>
  <c r="K15" i="13"/>
  <c r="J15" i="13"/>
  <c r="I15" i="13"/>
  <c r="H15" i="13"/>
  <c r="G15" i="13"/>
  <c r="F15" i="13"/>
  <c r="E15" i="13"/>
  <c r="D15" i="13"/>
  <c r="C15" i="13"/>
  <c r="L14" i="13"/>
  <c r="K14" i="13"/>
  <c r="J14" i="13"/>
  <c r="I14" i="13"/>
  <c r="H14" i="13"/>
  <c r="G14" i="13"/>
  <c r="F14" i="13"/>
  <c r="E14" i="13"/>
  <c r="D14" i="13"/>
  <c r="C14" i="13"/>
  <c r="L13" i="13"/>
  <c r="K13" i="13"/>
  <c r="J13" i="13"/>
  <c r="I13" i="13"/>
  <c r="H13" i="13"/>
  <c r="G13" i="13"/>
  <c r="F13" i="13"/>
  <c r="E13" i="13"/>
  <c r="D13" i="13"/>
  <c r="C13" i="13"/>
  <c r="L12" i="13"/>
  <c r="K12" i="13"/>
  <c r="J12" i="13"/>
  <c r="I12" i="13"/>
  <c r="H12" i="13"/>
  <c r="G12" i="13"/>
  <c r="F12" i="13"/>
  <c r="E12" i="13"/>
  <c r="D12" i="13"/>
  <c r="C12" i="13"/>
  <c r="B12" i="13" s="1"/>
  <c r="L11" i="13"/>
  <c r="K11" i="13"/>
  <c r="J11" i="13"/>
  <c r="I11" i="13"/>
  <c r="H11" i="13"/>
  <c r="G11" i="13"/>
  <c r="F11" i="13"/>
  <c r="E11" i="13"/>
  <c r="D11" i="13"/>
  <c r="C11" i="13"/>
  <c r="L10" i="13"/>
  <c r="K10" i="13"/>
  <c r="J10" i="13"/>
  <c r="I10" i="13"/>
  <c r="H10" i="13"/>
  <c r="G10" i="13"/>
  <c r="F10" i="13"/>
  <c r="E10" i="13"/>
  <c r="D10" i="13"/>
  <c r="C10" i="13"/>
  <c r="L9" i="13"/>
  <c r="K9" i="13"/>
  <c r="J9" i="13"/>
  <c r="I9" i="13"/>
  <c r="H9" i="13"/>
  <c r="G9" i="13"/>
  <c r="F9" i="13"/>
  <c r="E9" i="13"/>
  <c r="D9" i="13"/>
  <c r="C9" i="13"/>
  <c r="L8" i="13"/>
  <c r="K8" i="13"/>
  <c r="J8" i="13"/>
  <c r="I8" i="13"/>
  <c r="H8" i="13"/>
  <c r="G8" i="13"/>
  <c r="F8" i="13"/>
  <c r="E8" i="13"/>
  <c r="D8" i="13"/>
  <c r="C8" i="13"/>
  <c r="L7" i="13"/>
  <c r="K7" i="13"/>
  <c r="J7" i="13"/>
  <c r="I7" i="13"/>
  <c r="H7" i="13"/>
  <c r="G7" i="13"/>
  <c r="F7" i="13"/>
  <c r="E7" i="13"/>
  <c r="D7" i="13"/>
  <c r="C7" i="13"/>
  <c r="L6" i="13"/>
  <c r="K6" i="13"/>
  <c r="J6" i="13"/>
  <c r="I6" i="13"/>
  <c r="H6" i="13"/>
  <c r="G6" i="13"/>
  <c r="F6" i="13"/>
  <c r="E6" i="13"/>
  <c r="D6" i="13"/>
  <c r="C6" i="13"/>
  <c r="L5" i="13"/>
  <c r="K5" i="13"/>
  <c r="J5" i="13"/>
  <c r="I5" i="13"/>
  <c r="I17" i="13" s="1"/>
  <c r="H5" i="13"/>
  <c r="G5" i="13"/>
  <c r="F5" i="13"/>
  <c r="E5" i="13"/>
  <c r="D5" i="13"/>
  <c r="C5" i="13"/>
  <c r="L4" i="13"/>
  <c r="K4" i="13"/>
  <c r="K17" i="13" s="1"/>
  <c r="J4" i="13"/>
  <c r="I4" i="13"/>
  <c r="H4" i="13"/>
  <c r="H17" i="13" s="1"/>
  <c r="G4" i="13"/>
  <c r="F4" i="13"/>
  <c r="E4" i="13"/>
  <c r="D4" i="13"/>
  <c r="C4" i="13"/>
  <c r="C17" i="13" s="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G61" i="11"/>
  <c r="G62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D62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L24" i="11"/>
  <c r="K24" i="11"/>
  <c r="J24" i="11"/>
  <c r="I24" i="11"/>
  <c r="H24" i="11"/>
  <c r="G24" i="11"/>
  <c r="F24" i="11"/>
  <c r="E24" i="11"/>
  <c r="D24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J6" i="11"/>
  <c r="J7" i="11"/>
  <c r="J8" i="11"/>
  <c r="J9" i="11"/>
  <c r="J10" i="11"/>
  <c r="J11" i="11"/>
  <c r="J12" i="11"/>
  <c r="J13" i="11"/>
  <c r="J14" i="11"/>
  <c r="J15" i="11"/>
  <c r="J16" i="11"/>
  <c r="J17" i="11"/>
  <c r="J18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L5" i="11"/>
  <c r="K5" i="11"/>
  <c r="J5" i="11"/>
  <c r="I5" i="11"/>
  <c r="H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5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C52" i="11"/>
  <c r="C53" i="11"/>
  <c r="C54" i="11"/>
  <c r="C55" i="11"/>
  <c r="C56" i="11"/>
  <c r="C57" i="11"/>
  <c r="C58" i="11"/>
  <c r="C59" i="11"/>
  <c r="C60" i="11"/>
  <c r="C61" i="11"/>
  <c r="C62" i="11"/>
  <c r="C24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5" i="11"/>
  <c r="B69" i="11" l="1"/>
  <c r="B5" i="13"/>
  <c r="B6" i="13"/>
  <c r="B10" i="13"/>
  <c r="G17" i="13"/>
  <c r="B7" i="13"/>
  <c r="B11" i="13"/>
  <c r="B4" i="13"/>
  <c r="B17" i="13" s="1"/>
  <c r="B15" i="13"/>
  <c r="D17" i="13"/>
  <c r="L17" i="13"/>
  <c r="F17" i="13"/>
  <c r="B8" i="13"/>
  <c r="B14" i="13"/>
  <c r="E17" i="13"/>
  <c r="B9" i="13"/>
  <c r="B13" i="13"/>
  <c r="K23" i="13"/>
  <c r="I25" i="13"/>
  <c r="G27" i="13"/>
  <c r="E29" i="13"/>
  <c r="C31" i="13"/>
  <c r="L32" i="13"/>
  <c r="J34" i="13"/>
  <c r="H36" i="13"/>
  <c r="F38" i="13"/>
  <c r="D40" i="13"/>
  <c r="K43" i="13"/>
  <c r="I45" i="13"/>
  <c r="G47" i="13"/>
  <c r="E49" i="13"/>
  <c r="C51" i="13"/>
  <c r="L52" i="13"/>
  <c r="J54" i="13"/>
  <c r="H56" i="13"/>
  <c r="C22" i="13"/>
  <c r="L23" i="13"/>
  <c r="J25" i="13"/>
  <c r="H27" i="13"/>
  <c r="F29" i="13"/>
  <c r="D31" i="13"/>
  <c r="K34" i="13"/>
  <c r="I36" i="13"/>
  <c r="G38" i="13"/>
  <c r="E40" i="13"/>
  <c r="C42" i="13"/>
  <c r="L43" i="13"/>
  <c r="J45" i="13"/>
  <c r="H47" i="13"/>
  <c r="F49" i="13"/>
  <c r="D51" i="13"/>
  <c r="K54" i="13"/>
  <c r="I56" i="13"/>
  <c r="D22" i="13"/>
  <c r="K25" i="13"/>
  <c r="I27" i="13"/>
  <c r="G29" i="13"/>
  <c r="E31" i="13"/>
  <c r="C33" i="13"/>
  <c r="L34" i="13"/>
  <c r="J36" i="13"/>
  <c r="H38" i="13"/>
  <c r="F40" i="13"/>
  <c r="D42" i="13"/>
  <c r="K45" i="13"/>
  <c r="I47" i="13"/>
  <c r="G49" i="13"/>
  <c r="E51" i="13"/>
  <c r="C53" i="13"/>
  <c r="L54" i="13"/>
  <c r="J56" i="13"/>
  <c r="E22" i="13"/>
  <c r="C24" i="13"/>
  <c r="L25" i="13"/>
  <c r="J27" i="13"/>
  <c r="H29" i="13"/>
  <c r="F31" i="13"/>
  <c r="D33" i="13"/>
  <c r="K36" i="13"/>
  <c r="I38" i="13"/>
  <c r="G40" i="13"/>
  <c r="E42" i="13"/>
  <c r="C44" i="13"/>
  <c r="L45" i="13"/>
  <c r="J47" i="13"/>
  <c r="H49" i="13"/>
  <c r="F51" i="13"/>
  <c r="D53" i="13"/>
  <c r="K56" i="13"/>
  <c r="J17" i="13"/>
  <c r="F22" i="13"/>
  <c r="D24" i="13"/>
  <c r="K27" i="13"/>
  <c r="I29" i="13"/>
  <c r="G31" i="13"/>
  <c r="E33" i="13"/>
  <c r="C35" i="13"/>
  <c r="L36" i="13"/>
  <c r="J38" i="13"/>
  <c r="H40" i="13"/>
  <c r="F42" i="13"/>
  <c r="D44" i="13"/>
  <c r="K47" i="13"/>
  <c r="I49" i="13"/>
  <c r="G51" i="13"/>
  <c r="E53" i="13"/>
  <c r="C55" i="13"/>
  <c r="L56" i="13"/>
  <c r="G22" i="13"/>
  <c r="E24" i="13"/>
  <c r="C26" i="13"/>
  <c r="L27" i="13"/>
  <c r="J29" i="13"/>
  <c r="H31" i="13"/>
  <c r="F33" i="13"/>
  <c r="D35" i="13"/>
  <c r="K38" i="13"/>
  <c r="I40" i="13"/>
  <c r="G42" i="13"/>
  <c r="E44" i="13"/>
  <c r="C46" i="13"/>
  <c r="L47" i="13"/>
  <c r="J49" i="13"/>
  <c r="H51" i="13"/>
  <c r="F53" i="13"/>
  <c r="D55" i="13"/>
  <c r="H22" i="13"/>
  <c r="F24" i="13"/>
  <c r="D26" i="13"/>
  <c r="K29" i="13"/>
  <c r="I31" i="13"/>
  <c r="G33" i="13"/>
  <c r="E35" i="13"/>
  <c r="C37" i="13"/>
  <c r="L38" i="13"/>
  <c r="J40" i="13"/>
  <c r="H42" i="13"/>
  <c r="F44" i="13"/>
  <c r="D46" i="13"/>
  <c r="K49" i="13"/>
  <c r="I51" i="13"/>
  <c r="G53" i="13"/>
  <c r="E55" i="13"/>
  <c r="I22" i="13"/>
  <c r="G24" i="13"/>
  <c r="E26" i="13"/>
  <c r="C28" i="13"/>
  <c r="L29" i="13"/>
  <c r="J31" i="13"/>
  <c r="H33" i="13"/>
  <c r="F35" i="13"/>
  <c r="D37" i="13"/>
  <c r="K40" i="13"/>
  <c r="I42" i="13"/>
  <c r="G44" i="13"/>
  <c r="E46" i="13"/>
  <c r="C48" i="13"/>
  <c r="L49" i="13"/>
  <c r="J51" i="13"/>
  <c r="H53" i="13"/>
  <c r="F55" i="13"/>
  <c r="A21" i="13"/>
  <c r="J22" i="13"/>
  <c r="H24" i="13"/>
  <c r="F26" i="13"/>
  <c r="D28" i="13"/>
  <c r="K31" i="13"/>
  <c r="I33" i="13"/>
  <c r="G35" i="13"/>
  <c r="E37" i="13"/>
  <c r="C39" i="13"/>
  <c r="L40" i="13"/>
  <c r="J42" i="13"/>
  <c r="H44" i="13"/>
  <c r="F46" i="13"/>
  <c r="D48" i="13"/>
  <c r="K51" i="13"/>
  <c r="I53" i="13"/>
  <c r="G55" i="13"/>
  <c r="K22" i="13"/>
  <c r="I24" i="13"/>
  <c r="G26" i="13"/>
  <c r="E28" i="13"/>
  <c r="C30" i="13"/>
  <c r="L31" i="13"/>
  <c r="J33" i="13"/>
  <c r="H35" i="13"/>
  <c r="F37" i="13"/>
  <c r="D39" i="13"/>
  <c r="K42" i="13"/>
  <c r="I44" i="13"/>
  <c r="G46" i="13"/>
  <c r="E48" i="13"/>
  <c r="C50" i="13"/>
  <c r="L51" i="13"/>
  <c r="J53" i="13"/>
  <c r="H55" i="13"/>
  <c r="L22" i="13"/>
  <c r="J24" i="13"/>
  <c r="H26" i="13"/>
  <c r="F28" i="13"/>
  <c r="D30" i="13"/>
  <c r="K33" i="13"/>
  <c r="I35" i="13"/>
  <c r="G37" i="13"/>
  <c r="E39" i="13"/>
  <c r="C41" i="13"/>
  <c r="L42" i="13"/>
  <c r="J44" i="13"/>
  <c r="H46" i="13"/>
  <c r="F48" i="13"/>
  <c r="D50" i="13"/>
  <c r="K53" i="13"/>
  <c r="I55" i="13"/>
  <c r="K24" i="13"/>
  <c r="I26" i="13"/>
  <c r="G28" i="13"/>
  <c r="E30" i="13"/>
  <c r="C32" i="13"/>
  <c r="L33" i="13"/>
  <c r="J35" i="13"/>
  <c r="H37" i="13"/>
  <c r="F39" i="13"/>
  <c r="D41" i="13"/>
  <c r="K44" i="13"/>
  <c r="I46" i="13"/>
  <c r="G48" i="13"/>
  <c r="E50" i="13"/>
  <c r="C52" i="13"/>
  <c r="L53" i="13"/>
  <c r="J55" i="13"/>
  <c r="C23" i="13"/>
  <c r="L24" i="13"/>
  <c r="J26" i="13"/>
  <c r="H28" i="13"/>
  <c r="F30" i="13"/>
  <c r="D32" i="13"/>
  <c r="K35" i="13"/>
  <c r="I37" i="13"/>
  <c r="G39" i="13"/>
  <c r="E41" i="13"/>
  <c r="C43" i="13"/>
  <c r="L44" i="13"/>
  <c r="J46" i="13"/>
  <c r="H48" i="13"/>
  <c r="F50" i="13"/>
  <c r="D52" i="13"/>
  <c r="K55" i="13"/>
  <c r="D23" i="13"/>
  <c r="K26" i="13"/>
  <c r="I28" i="13"/>
  <c r="G30" i="13"/>
  <c r="E32" i="13"/>
  <c r="C34" i="13"/>
  <c r="L35" i="13"/>
  <c r="J37" i="13"/>
  <c r="H39" i="13"/>
  <c r="F41" i="13"/>
  <c r="D43" i="13"/>
  <c r="K46" i="13"/>
  <c r="I48" i="13"/>
  <c r="G50" i="13"/>
  <c r="E52" i="13"/>
  <c r="C54" i="13"/>
  <c r="L55" i="13"/>
  <c r="L26" i="13"/>
  <c r="F23" i="13"/>
  <c r="D25" i="13"/>
  <c r="K28" i="13"/>
  <c r="I30" i="13"/>
  <c r="G32" i="13"/>
  <c r="E34" i="13"/>
  <c r="C36" i="13"/>
  <c r="L37" i="13"/>
  <c r="J39" i="13"/>
  <c r="H41" i="13"/>
  <c r="F43" i="13"/>
  <c r="D45" i="13"/>
  <c r="K48" i="13"/>
  <c r="I50" i="13"/>
  <c r="G52" i="13"/>
  <c r="E54" i="13"/>
  <c r="C56" i="13"/>
  <c r="E23" i="13"/>
  <c r="C25" i="13"/>
  <c r="H30" i="13"/>
  <c r="F32" i="13"/>
  <c r="D34" i="13"/>
  <c r="K37" i="13"/>
  <c r="I39" i="13"/>
  <c r="G41" i="13"/>
  <c r="E43" i="13"/>
  <c r="C45" i="13"/>
  <c r="L46" i="13"/>
  <c r="J48" i="13"/>
  <c r="H50" i="13"/>
  <c r="F52" i="13"/>
  <c r="D54" i="13"/>
  <c r="G23" i="13"/>
  <c r="E25" i="13"/>
  <c r="C27" i="13"/>
  <c r="L28" i="13"/>
  <c r="J30" i="13"/>
  <c r="H32" i="13"/>
  <c r="F34" i="13"/>
  <c r="D36" i="13"/>
  <c r="K39" i="13"/>
  <c r="I41" i="13"/>
  <c r="G43" i="13"/>
  <c r="E45" i="13"/>
  <c r="C47" i="13"/>
  <c r="L48" i="13"/>
  <c r="J50" i="13"/>
  <c r="H52" i="13"/>
  <c r="F54" i="13"/>
  <c r="D56" i="13"/>
  <c r="J28" i="13"/>
  <c r="H23" i="13"/>
  <c r="F25" i="13"/>
  <c r="D27" i="13"/>
  <c r="K30" i="13"/>
  <c r="I32" i="13"/>
  <c r="G34" i="13"/>
  <c r="E36" i="13"/>
  <c r="C38" i="13"/>
  <c r="B38" i="13" s="1"/>
  <c r="L39" i="13"/>
  <c r="J41" i="13"/>
  <c r="H43" i="13"/>
  <c r="F45" i="13"/>
  <c r="D47" i="13"/>
  <c r="K50" i="13"/>
  <c r="I52" i="13"/>
  <c r="G54" i="13"/>
  <c r="E56" i="13"/>
  <c r="I23" i="13"/>
  <c r="G25" i="13"/>
  <c r="E27" i="13"/>
  <c r="C29" i="13"/>
  <c r="J32" i="13"/>
  <c r="H34" i="13"/>
  <c r="F36" i="13"/>
  <c r="D38" i="13"/>
  <c r="K41" i="13"/>
  <c r="I43" i="13"/>
  <c r="G45" i="13"/>
  <c r="E47" i="13"/>
  <c r="C49" i="13"/>
  <c r="L50" i="13"/>
  <c r="J52" i="13"/>
  <c r="H54" i="13"/>
  <c r="L30" i="13"/>
  <c r="F56" i="13"/>
  <c r="J23" i="13"/>
  <c r="H25" i="13"/>
  <c r="F27" i="13"/>
  <c r="D29" i="13"/>
  <c r="K32" i="13"/>
  <c r="I34" i="13"/>
  <c r="G36" i="13"/>
  <c r="E38" i="13"/>
  <c r="C40" i="13"/>
  <c r="L41" i="13"/>
  <c r="J43" i="13"/>
  <c r="H45" i="13"/>
  <c r="F47" i="13"/>
  <c r="D49" i="13"/>
  <c r="K52" i="13"/>
  <c r="I54" i="13"/>
  <c r="J20" i="11"/>
  <c r="H64" i="11"/>
  <c r="L64" i="11"/>
  <c r="B39" i="11"/>
  <c r="K64" i="11"/>
  <c r="B29" i="11"/>
  <c r="J64" i="11"/>
  <c r="I64" i="11"/>
  <c r="B55" i="11"/>
  <c r="B25" i="11"/>
  <c r="B35" i="11"/>
  <c r="B34" i="11"/>
  <c r="B49" i="11"/>
  <c r="G64" i="11"/>
  <c r="F64" i="11"/>
  <c r="B26" i="11"/>
  <c r="B57" i="11"/>
  <c r="B54" i="11"/>
  <c r="B45" i="11"/>
  <c r="B50" i="11"/>
  <c r="B58" i="11"/>
  <c r="B30" i="11"/>
  <c r="E64" i="11"/>
  <c r="B36" i="11"/>
  <c r="B48" i="11"/>
  <c r="B53" i="11"/>
  <c r="B33" i="11"/>
  <c r="B40" i="11"/>
  <c r="B27" i="11"/>
  <c r="B62" i="11"/>
  <c r="B52" i="11"/>
  <c r="B32" i="11"/>
  <c r="B51" i="11"/>
  <c r="B31" i="11"/>
  <c r="B28" i="11"/>
  <c r="B59" i="11"/>
  <c r="B56" i="11"/>
  <c r="B47" i="11"/>
  <c r="B46" i="11"/>
  <c r="B44" i="11"/>
  <c r="B43" i="11"/>
  <c r="B42" i="11"/>
  <c r="B38" i="11"/>
  <c r="D64" i="11"/>
  <c r="B37" i="11"/>
  <c r="B61" i="11"/>
  <c r="B41" i="11"/>
  <c r="B60" i="11"/>
  <c r="B24" i="11"/>
  <c r="L20" i="11"/>
  <c r="L66" i="11" s="1"/>
  <c r="K20" i="11"/>
  <c r="I20" i="11"/>
  <c r="H20" i="11"/>
  <c r="B15" i="11"/>
  <c r="G20" i="11"/>
  <c r="G66" i="11" s="1"/>
  <c r="F20" i="11"/>
  <c r="B17" i="11"/>
  <c r="B18" i="11"/>
  <c r="E20" i="11"/>
  <c r="B10" i="11"/>
  <c r="B8" i="11"/>
  <c r="B12" i="11"/>
  <c r="B14" i="11"/>
  <c r="B11" i="11"/>
  <c r="B13" i="11"/>
  <c r="B9" i="11"/>
  <c r="B7" i="11"/>
  <c r="B6" i="11"/>
  <c r="D20" i="11"/>
  <c r="B16" i="11"/>
  <c r="B5" i="11"/>
  <c r="C64" i="11"/>
  <c r="C20" i="11"/>
  <c r="B45" i="13" l="1"/>
  <c r="B25" i="13"/>
  <c r="B36" i="13"/>
  <c r="B29" i="13"/>
  <c r="B24" i="13"/>
  <c r="B48" i="13"/>
  <c r="B35" i="13"/>
  <c r="B22" i="13"/>
  <c r="B34" i="13"/>
  <c r="B50" i="13"/>
  <c r="B37" i="13"/>
  <c r="B23" i="13"/>
  <c r="B51" i="13"/>
  <c r="B39" i="13"/>
  <c r="B26" i="13"/>
  <c r="B52" i="13"/>
  <c r="B53" i="13"/>
  <c r="B49" i="13"/>
  <c r="B41" i="13"/>
  <c r="B28" i="13"/>
  <c r="B55" i="13"/>
  <c r="B42" i="13"/>
  <c r="B47" i="13"/>
  <c r="B30" i="13"/>
  <c r="B54" i="13"/>
  <c r="B56" i="13"/>
  <c r="B44" i="13"/>
  <c r="B43" i="13"/>
  <c r="L21" i="13"/>
  <c r="L58" i="13" s="1"/>
  <c r="K21" i="13"/>
  <c r="K58" i="13" s="1"/>
  <c r="J21" i="13"/>
  <c r="J58" i="13" s="1"/>
  <c r="J67" i="13" s="1"/>
  <c r="I21" i="13"/>
  <c r="I58" i="13" s="1"/>
  <c r="G21" i="13"/>
  <c r="G58" i="13" s="1"/>
  <c r="H21" i="13"/>
  <c r="H58" i="13" s="1"/>
  <c r="F21" i="13"/>
  <c r="F58" i="13" s="1"/>
  <c r="E21" i="13"/>
  <c r="E58" i="13" s="1"/>
  <c r="D21" i="13"/>
  <c r="D58" i="13" s="1"/>
  <c r="C21" i="13"/>
  <c r="B31" i="13"/>
  <c r="B40" i="13"/>
  <c r="B27" i="13"/>
  <c r="B46" i="13"/>
  <c r="B32" i="13"/>
  <c r="B33" i="13"/>
  <c r="B64" i="11"/>
  <c r="B20" i="11"/>
  <c r="B66" i="11" s="1"/>
  <c r="D60" i="13" l="1"/>
  <c r="D67" i="13"/>
  <c r="G67" i="13"/>
  <c r="G60" i="13"/>
  <c r="J60" i="13"/>
  <c r="I67" i="13"/>
  <c r="I60" i="13"/>
  <c r="B21" i="13"/>
  <c r="B58" i="13" s="1"/>
  <c r="C58" i="13"/>
  <c r="H67" i="13"/>
  <c r="H60" i="13"/>
  <c r="L67" i="13"/>
  <c r="L60" i="13"/>
  <c r="E60" i="13"/>
  <c r="E67" i="13"/>
  <c r="F67" i="13"/>
  <c r="F60" i="13"/>
  <c r="K67" i="13"/>
  <c r="K60" i="13"/>
  <c r="G73" i="11"/>
  <c r="I73" i="11"/>
  <c r="F73" i="11"/>
  <c r="J73" i="11"/>
  <c r="E73" i="11"/>
  <c r="K73" i="11"/>
  <c r="D73" i="11"/>
  <c r="H73" i="11"/>
  <c r="L73" i="11"/>
  <c r="G14" i="7"/>
  <c r="G15" i="7"/>
  <c r="G16" i="7"/>
  <c r="G17" i="7"/>
  <c r="G20" i="7"/>
  <c r="G21" i="7"/>
  <c r="G22" i="7"/>
  <c r="G23" i="7"/>
  <c r="G24" i="7"/>
  <c r="G25" i="7"/>
  <c r="G26" i="7"/>
  <c r="G27" i="7"/>
  <c r="G28" i="7"/>
  <c r="G30" i="7"/>
  <c r="G14" i="8"/>
  <c r="G15" i="8"/>
  <c r="G16" i="8"/>
  <c r="G17" i="8"/>
  <c r="G18" i="8"/>
  <c r="G21" i="8"/>
  <c r="G22" i="8"/>
  <c r="G23" i="8"/>
  <c r="G24" i="8"/>
  <c r="G25" i="8"/>
  <c r="G26" i="8"/>
  <c r="G27" i="8"/>
  <c r="G28" i="8"/>
  <c r="G30" i="8"/>
  <c r="G14" i="9"/>
  <c r="G15" i="9"/>
  <c r="G16" i="9"/>
  <c r="G17" i="9"/>
  <c r="G18" i="9"/>
  <c r="G19" i="9"/>
  <c r="G21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16" i="10"/>
  <c r="G18" i="10"/>
  <c r="G20" i="10"/>
  <c r="G22" i="10"/>
  <c r="G13" i="10"/>
  <c r="G13" i="9"/>
  <c r="G13" i="8"/>
  <c r="G13" i="7"/>
  <c r="G14" i="6"/>
  <c r="G15" i="6"/>
  <c r="G16" i="6"/>
  <c r="G19" i="6"/>
  <c r="G20" i="6"/>
  <c r="G21" i="6"/>
  <c r="G22" i="6"/>
  <c r="G23" i="6"/>
  <c r="G24" i="6"/>
  <c r="G25" i="6"/>
  <c r="G26" i="6"/>
  <c r="G27" i="6"/>
  <c r="G28" i="6"/>
  <c r="G30" i="6"/>
  <c r="G13" i="6"/>
  <c r="G16" i="5"/>
  <c r="G18" i="5"/>
  <c r="G20" i="5"/>
  <c r="G22" i="5"/>
  <c r="G24" i="5"/>
  <c r="G13" i="4"/>
  <c r="G13" i="5"/>
  <c r="G14" i="4"/>
  <c r="G15" i="4"/>
  <c r="G18" i="4"/>
  <c r="G19" i="4"/>
  <c r="G20" i="4"/>
  <c r="G21" i="4"/>
  <c r="G22" i="4"/>
  <c r="G23" i="4"/>
  <c r="G24" i="4"/>
  <c r="G25" i="4"/>
  <c r="G26" i="4"/>
  <c r="G27" i="4"/>
  <c r="G29" i="4"/>
  <c r="G14" i="3"/>
  <c r="G15" i="3"/>
  <c r="G16" i="3"/>
  <c r="G19" i="3"/>
  <c r="G20" i="3"/>
  <c r="G21" i="3"/>
  <c r="G22" i="3"/>
  <c r="G23" i="3"/>
  <c r="G24" i="3"/>
  <c r="G25" i="3"/>
  <c r="G27" i="3"/>
  <c r="G28" i="3"/>
  <c r="G29" i="3"/>
  <c r="G30" i="3"/>
  <c r="G31" i="3"/>
  <c r="G32" i="3"/>
  <c r="G33" i="3"/>
  <c r="G34" i="3"/>
  <c r="G36" i="3"/>
  <c r="G13" i="3"/>
  <c r="G14" i="2"/>
  <c r="G16" i="2"/>
  <c r="G17" i="2"/>
  <c r="G18" i="2"/>
  <c r="G21" i="2"/>
  <c r="G22" i="2"/>
  <c r="G23" i="2"/>
  <c r="G24" i="2"/>
  <c r="G25" i="2"/>
  <c r="G26" i="2"/>
  <c r="G27" i="2"/>
  <c r="G28" i="2"/>
  <c r="G29" i="2"/>
  <c r="G30" i="2"/>
  <c r="G32" i="2"/>
  <c r="G34" i="2"/>
  <c r="G13" i="2"/>
  <c r="B60" i="13" l="1"/>
  <c r="B67" i="13"/>
  <c r="C60" i="13"/>
  <c r="C67" i="13"/>
  <c r="C73" i="11"/>
  <c r="B73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<sst xmlns="http://schemas.openxmlformats.org/spreadsheetml/2006/main" count="479" uniqueCount="139">
  <si>
    <t>Leirsund IL</t>
  </si>
  <si>
    <t>Skigruppa</t>
  </si>
  <si>
    <t>Junior</t>
  </si>
  <si>
    <t>Damer</t>
  </si>
  <si>
    <t>Leirsund 2</t>
  </si>
  <si>
    <t>A-lag</t>
  </si>
  <si>
    <t>Svømming</t>
  </si>
  <si>
    <t>eSport</t>
  </si>
  <si>
    <t>Futsal</t>
  </si>
  <si>
    <t>Drift</t>
  </si>
  <si>
    <t>Adm</t>
  </si>
  <si>
    <t>Kommentar</t>
  </si>
  <si>
    <t>Inntekter</t>
  </si>
  <si>
    <t>3000 Salgsinnt. handelsvarer, avgiftspliktig, høy sats</t>
  </si>
  <si>
    <t>Se kommentarer under individuell gruppe</t>
  </si>
  <si>
    <t>3100 Salgsinntekter, avgiftsfri</t>
  </si>
  <si>
    <t>3120 Salgsinntekt tjenester, innenlands, avgiftsfri</t>
  </si>
  <si>
    <t>3205 Kiosksalg etc</t>
  </si>
  <si>
    <t>3220 Salgsinntekt tjenester, utenfor avgiftsområdet</t>
  </si>
  <si>
    <t>3250 Inntekter fra egne arrangementer</t>
  </si>
  <si>
    <t>3400 Spesielle offentlige tilskudd</t>
  </si>
  <si>
    <t>3440 Andre tilskudd</t>
  </si>
  <si>
    <t>3600 Leieinntekt fast eiendom, utenfor avgiftsområdet</t>
  </si>
  <si>
    <t>3920 Medlemskontingenter</t>
  </si>
  <si>
    <t>3930 Treningsavgifter</t>
  </si>
  <si>
    <t>3940 Egenandeler</t>
  </si>
  <si>
    <t>3945 Inntekt fra Dugnad</t>
  </si>
  <si>
    <t>3946 Inntekter til sosialt fra HL</t>
  </si>
  <si>
    <t>Inntekter Total</t>
  </si>
  <si>
    <t>Kostnader</t>
  </si>
  <si>
    <t>4300 Innkjøp varer for videresalg, høy avgiftssats</t>
  </si>
  <si>
    <t>4500 Fremmedytelser og underentrepriser</t>
  </si>
  <si>
    <t>5000 Lønn, honorar etc</t>
  </si>
  <si>
    <t>5180 Feriepenger beregnet</t>
  </si>
  <si>
    <t>5920 Yrkesskadeforsikring</t>
  </si>
  <si>
    <t>5990 Annen personalkostnad</t>
  </si>
  <si>
    <t>6000 Avskrivninger bygninger og annen fast eiendom</t>
  </si>
  <si>
    <t>6010 Avskrivninger transp.midler, maskiner og inventar</t>
  </si>
  <si>
    <t>6300 Leie lokaler</t>
  </si>
  <si>
    <t>6320 Renovasjon, vann, avløp mv.</t>
  </si>
  <si>
    <t>6340 Lys, varme</t>
  </si>
  <si>
    <t>6360 Renhold</t>
  </si>
  <si>
    <t>6370 Vakthold</t>
  </si>
  <si>
    <t>6399  Annen kostnad lokaler</t>
  </si>
  <si>
    <t>6420 Leie datasystemer</t>
  </si>
  <si>
    <t>6490 Annen leiekostnad</t>
  </si>
  <si>
    <t>6540 Inventar og utstyr</t>
  </si>
  <si>
    <t>6545 Datautstyr</t>
  </si>
  <si>
    <t>6580 Idrettsutstyr</t>
  </si>
  <si>
    <t>6600 Reparasjon og vedlikehold bygninger</t>
  </si>
  <si>
    <t>6620 Reparasjon og vedlikehold utstyr</t>
  </si>
  <si>
    <t>6800 Kontorrekvisita (Res)</t>
  </si>
  <si>
    <t>6820 Trykksaker</t>
  </si>
  <si>
    <t>6860 Møter, kurs, oppdatering etc.</t>
  </si>
  <si>
    <t>6890 Annen kontorkostnad</t>
  </si>
  <si>
    <t>7000 Drivstoff transportmidler</t>
  </si>
  <si>
    <t>7144 Hotell</t>
  </si>
  <si>
    <t>7162 Bevertning</t>
  </si>
  <si>
    <t>7395 Øreavrunding</t>
  </si>
  <si>
    <t>7400 Kontingent, fradragsberettiget</t>
  </si>
  <si>
    <t>7410 Kontingent, ikke fradragsberettiget</t>
  </si>
  <si>
    <t>7415 Påmelding serier, turneringer etc</t>
  </si>
  <si>
    <t>7420 Gaver, fradragsberettigede</t>
  </si>
  <si>
    <t>7430 Gaver, ikke fradrag</t>
  </si>
  <si>
    <t>7500 Forsikringspremier</t>
  </si>
  <si>
    <t>7740 Øredifferanser</t>
  </si>
  <si>
    <t>7770 Bank og kortgebyrer</t>
  </si>
  <si>
    <t>7790 Andre kostnader</t>
  </si>
  <si>
    <t>7830 Konstaterte tap på fordringer</t>
  </si>
  <si>
    <t>Utgifter  Total</t>
  </si>
  <si>
    <t>Driftsresultat</t>
  </si>
  <si>
    <t>Finansielle poster</t>
  </si>
  <si>
    <t>8050 Annen renteinntekt</t>
  </si>
  <si>
    <t>8070 Annen finansinntekt</t>
  </si>
  <si>
    <t xml:space="preserve">Årsresultat </t>
  </si>
  <si>
    <t>Resultatrapport</t>
  </si>
  <si>
    <t>LEIRSUND IDRETTSLAG</t>
  </si>
  <si>
    <t>Gjelder periode 01.01.2025 - 31.12.2025</t>
  </si>
  <si>
    <t>Periode fg år 01.01.2024 - 31.12.2024</t>
  </si>
  <si>
    <t>Avdeling: Skigruppa</t>
  </si>
  <si>
    <t>Periode</t>
  </si>
  <si>
    <t>Periode fg år</t>
  </si>
  <si>
    <t>Akkumulert</t>
  </si>
  <si>
    <t>Akkumulert fg år</t>
  </si>
  <si>
    <t>Budsjett</t>
  </si>
  <si>
    <t>% endring</t>
  </si>
  <si>
    <t>Driftsinntekter</t>
  </si>
  <si>
    <t>Samle under adm ? Diskusjonstema</t>
  </si>
  <si>
    <t>Driftskostnader</t>
  </si>
  <si>
    <t>Leie/festeavgift av lysløype/skihytte</t>
  </si>
  <si>
    <t>Avdeling: Junior fotball</t>
  </si>
  <si>
    <t>Avdeling: Senior Damelag</t>
  </si>
  <si>
    <t>Avdeling: Leirsund 2</t>
  </si>
  <si>
    <t>Kun kamputstyr skal kjøpes</t>
  </si>
  <si>
    <t>Avdeling: A-lag fotball</t>
  </si>
  <si>
    <t>Damer tar en av vaskingene som alag sto alene om I 2025</t>
  </si>
  <si>
    <t>Spilleroverganger</t>
  </si>
  <si>
    <t>Avdeling: Svømming</t>
  </si>
  <si>
    <t>Flytt til annen serie</t>
  </si>
  <si>
    <t>Flytt til 5000 serien</t>
  </si>
  <si>
    <t>Avdeling: eSport</t>
  </si>
  <si>
    <t>Avdeling: Futsal</t>
  </si>
  <si>
    <t>Ordinært resultat før skatt</t>
  </si>
  <si>
    <t>Ordinært resultat</t>
  </si>
  <si>
    <t>Årsresultat</t>
  </si>
  <si>
    <t xml:space="preserve">Avdeling: Drift bane og klubbhus </t>
  </si>
  <si>
    <t>Nye bord, glass etc - alt er veldig gammelt</t>
  </si>
  <si>
    <t>Undersøke låsssystem (for både ski og klubbhus), reperasjon av bane - t renger leie egen maskin for dette</t>
  </si>
  <si>
    <t>Avdeling: Administrasjon</t>
  </si>
  <si>
    <t>Avsatt midler for bruk av advokat</t>
  </si>
  <si>
    <t>Overføringer</t>
  </si>
  <si>
    <t>8960 Overføringer annen egenkapital</t>
  </si>
  <si>
    <t>Kiosksalg</t>
  </si>
  <si>
    <t>Sponsorer</t>
  </si>
  <si>
    <t>Leirsund Vel konto</t>
  </si>
  <si>
    <t>Ikke lenger relevant, nå brukes kun 3000</t>
  </si>
  <si>
    <t>Leieinntekter klubbhus</t>
  </si>
  <si>
    <t>Familiesvømming</t>
  </si>
  <si>
    <t>Driftstilskudd, gratisprinsipp etc - vi antar drifttilskudd for 2025 blir mindre enn 2024</t>
  </si>
  <si>
    <t>Grasrot, Martins Bingo etc</t>
  </si>
  <si>
    <t>Leieinntekter skihytta</t>
  </si>
  <si>
    <t>Tilskudd hovedstyret</t>
  </si>
  <si>
    <t>Alle underavdelinger får 10000 I støtte for å iverta det sosiale + Alag får 30k for nedavask av klubbhus 2 x i året</t>
  </si>
  <si>
    <t>Adm kjøper inn alle koiskvarer for å øke mva-komp, med unntak av skihytta</t>
  </si>
  <si>
    <t>Dommerregninger</t>
  </si>
  <si>
    <t>Sosiale ting lag, spilleroverganger - bør ryddes opp I 2025</t>
  </si>
  <si>
    <t>Forventer en nedgang i strømutgifter for 2025</t>
  </si>
  <si>
    <t>I hovedsak baneleie vinter, om kunstgress blir etablert vil dette forhåpentligvis forsvinne i  sin helhet</t>
  </si>
  <si>
    <t>7420 + 7430 bør slås sammen i 2025</t>
  </si>
  <si>
    <t>Forsikringer anlegg + maskiner</t>
  </si>
  <si>
    <t>Div</t>
  </si>
  <si>
    <t>Dommerkurs/svømmetrener</t>
  </si>
  <si>
    <t>Jentelag vurderer en cup iløpet av året som har overnatting</t>
  </si>
  <si>
    <t>Forsikringer spillere</t>
  </si>
  <si>
    <t>Trener alag og banemann/driftsansvarlig utgjør majoritet her</t>
  </si>
  <si>
    <t>Visma eAccounting &amp; Spond/Spoortz</t>
  </si>
  <si>
    <t>Reklamemateriall, utstyr til salg med egen logo</t>
  </si>
  <si>
    <t>Kostnader/inntekter til utvidelse av lysløype føres på egen dimensjon i Eaccounting og er ikke med I budjsett</t>
  </si>
  <si>
    <t>Klubb har god økonimi og forventer betydelige renteinntekter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</si>
</sst>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kr&quot;\ * #,##0.00_-;\-&quot;kr&quot;\ * #,##0.00_-;_-&quot;kr&quot;\ * &quot;-&quot;??_-;_-@_-"/>
    <numFmt numFmtId="164" formatCode="_ [$kr-414]\ * #,##0.00_ ;_ [$kr-414]\ * \-#,##0.00_ ;_ [$kr-414]\ * &quot;-&quot;??_ ;_ @_ "/>
    <numFmt numFmtId="165" formatCode="&quot;kr&quot;\ #,##0.00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6">
    <xf numFmtId="0" fontId="0" fillId="0" borderId="0" xfId="0"/>
    <xf numFmtId="0" fontId="16" fillId="0" borderId="0" xfId="0" applyFont="1"/>
    <xf numFmtId="0" fontId="18" fillId="0" borderId="0" xfId="0" applyFont="1"/>
    <xf numFmtId="164" fontId="0" fillId="0" borderId="0" xfId="0" applyNumberFormat="1"/>
    <xf numFmtId="44" fontId="0" fillId="0" borderId="0" xfId="1" applyFont="1"/>
    <xf numFmtId="0" fontId="0" fillId="0" borderId="10" xfId="0" applyBorder="1"/>
    <xf numFmtId="44" fontId="0" fillId="0" borderId="10" xfId="1" applyFont="1" applyBorder="1"/>
    <xf numFmtId="164" fontId="0" fillId="0" borderId="10" xfId="0" applyNumberFormat="1" applyBorder="1"/>
    <xf numFmtId="165" fontId="0" fillId="0" borderId="10" xfId="0" applyNumberFormat="1" applyBorder="1"/>
    <xf numFmtId="165" fontId="0" fillId="0" borderId="0" xfId="0" applyNumberFormat="1"/>
    <xf numFmtId="10" fontId="0" fillId="0" borderId="10" xfId="0" applyNumberFormat="1" applyBorder="1"/>
    <xf numFmtId="10" fontId="0" fillId="0" borderId="0" xfId="0" applyNumberFormat="1"/>
    <xf numFmtId="9" fontId="0" fillId="0" borderId="10" xfId="2" applyFont="1" applyBorder="1"/>
    <xf numFmtId="9" fontId="0" fillId="0" borderId="0" xfId="2" applyFont="1"/>
    <xf numFmtId="0" fontId="16" fillId="0" borderId="12" xfId="0" applyFont="1" applyBorder="1"/>
    <xf numFmtId="0" fontId="16" fillId="0" borderId="10" xfId="0" applyFont="1" applyBorder="1"/>
    <xf numFmtId="165" fontId="16" fillId="0" borderId="10" xfId="0" applyNumberFormat="1" applyFont="1" applyBorder="1"/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16" fillId="0" borderId="1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</cellXfs>
  <cellStyles count="44">
    <cellStyle name="20 % – uthevingsfarge 1" xfId="21" builtinId="30" customBuiltin="1"/>
    <cellStyle name="20 % – uthevingsfarge 2" xfId="25" builtinId="34" customBuiltin="1"/>
    <cellStyle name="20 % – uthevingsfarge 3" xfId="29" builtinId="38" customBuiltin="1"/>
    <cellStyle name="20 % – uthevingsfarge 4" xfId="33" builtinId="42" customBuiltin="1"/>
    <cellStyle name="20 % – uthevingsfarge 5" xfId="37" builtinId="46" customBuiltin="1"/>
    <cellStyle name="20 % – uthevingsfarge 6" xfId="41" builtinId="50" customBuiltin="1"/>
    <cellStyle name="40 % – uthevingsfarge 1" xfId="22" builtinId="31" customBuiltin="1"/>
    <cellStyle name="40 % – uthevingsfarge 2" xfId="26" builtinId="35" customBuiltin="1"/>
    <cellStyle name="40 % – uthevingsfarge 3" xfId="30" builtinId="39" customBuiltin="1"/>
    <cellStyle name="40 % – uthevingsfarge 4" xfId="34" builtinId="43" customBuiltin="1"/>
    <cellStyle name="40 % – uthevingsfarge 5" xfId="38" builtinId="47" customBuiltin="1"/>
    <cellStyle name="40 % – uthevingsfarge 6" xfId="42" builtinId="51" customBuiltin="1"/>
    <cellStyle name="60 % – uthevingsfarge 1" xfId="23" builtinId="32" customBuiltin="1"/>
    <cellStyle name="60 % – uthevingsfarge 2" xfId="27" builtinId="36" customBuiltin="1"/>
    <cellStyle name="60 % – uthevingsfarge 3" xfId="31" builtinId="40" customBuiltin="1"/>
    <cellStyle name="60 % – uthevingsfarge 4" xfId="35" builtinId="44" customBuiltin="1"/>
    <cellStyle name="60 % – uthevingsfarge 5" xfId="39" builtinId="48" customBuiltin="1"/>
    <cellStyle name="60 % – uthevingsfarge 6" xfId="43" builtinId="52" customBuiltin="1"/>
    <cellStyle name="Beregning" xfId="13" builtinId="22" customBuiltin="1"/>
    <cellStyle name="Dårlig" xfId="9" builtinId="27" customBuiltin="1"/>
    <cellStyle name="Forklarende tekst" xfId="18" builtinId="53" customBuiltin="1"/>
    <cellStyle name="God" xfId="8" builtinId="26" customBuiltin="1"/>
    <cellStyle name="Inndata" xfId="11" builtinId="20" customBuiltin="1"/>
    <cellStyle name="Koblet celle" xfId="14" builtinId="24" customBuiltin="1"/>
    <cellStyle name="Kontrollcelle" xfId="15" builtinId="23" customBuiltin="1"/>
    <cellStyle name="Merknad" xfId="17" builtinId="10" customBuiltin="1"/>
    <cellStyle name="Normal" xfId="0" builtinId="0"/>
    <cellStyle name="Nøytral" xfId="10" builtinId="28" customBuiltin="1"/>
    <cellStyle name="Overskrift 1" xfId="4" builtinId="16" customBuiltin="1"/>
    <cellStyle name="Overskrift 2" xfId="5" builtinId="17" customBuiltin="1"/>
    <cellStyle name="Overskrift 3" xfId="6" builtinId="18" customBuiltin="1"/>
    <cellStyle name="Overskrift 4" xfId="7" builtinId="19" customBuiltin="1"/>
    <cellStyle name="Prosent" xfId="2" builtinId="5"/>
    <cellStyle name="Tittel" xfId="3" builtinId="15" customBuiltin="1"/>
    <cellStyle name="Totalt" xfId="19" builtinId="25" customBuiltin="1"/>
    <cellStyle name="Utdata" xfId="12" builtinId="21" customBuiltin="1"/>
    <cellStyle name="Uthevingsfarge1" xfId="20" builtinId="29" customBuiltin="1"/>
    <cellStyle name="Uthevingsfarge2" xfId="24" builtinId="33" customBuiltin="1"/>
    <cellStyle name="Uthevingsfarge3" xfId="28" builtinId="37" customBuiltin="1"/>
    <cellStyle name="Uthevingsfarge4" xfId="32" builtinId="41" customBuiltin="1"/>
    <cellStyle name="Uthevingsfarge5" xfId="36" builtinId="45" customBuiltin="1"/>
    <cellStyle name="Uthevingsfarge6" xfId="40" builtinId="49" customBuiltin="1"/>
    <cellStyle name="Valuta" xfId="1" builtinId="4"/>
    <cellStyle name="Varselteks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Users/madse/Downloads/Budsjett%202025%20LIL%20(2).xlsx" TargetMode="External"/><Relationship Id="rId2" Type="http://schemas.openxmlformats.org/officeDocument/2006/relationships/externalLinkPath" Target="file:///C:\Users\madse\Downloads\Budsjett%202025%20LIL%20(2).xlsx" TargetMode="External"/><Relationship Id="rId1" Type="http://schemas.openxmlformats.org/officeDocument/2006/relationships/externalLinkPath" Target="/Users/madse/Downloads/Budsjett%202025%20LIL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Leirsund IL"/>
      <sheetName val="Skigruppa"/>
      <sheetName val="Junior"/>
      <sheetName val="Damer"/>
      <sheetName val="Leirsund 2"/>
      <sheetName val="A-lag"/>
      <sheetName val="Svømming"/>
      <sheetName val="eSport"/>
      <sheetName val="Futsal"/>
      <sheetName val="Drift"/>
      <sheetName val="Adm"/>
    </sheetNames>
    <sheetDataSet>
      <sheetData sheetId="0"/>
      <sheetData sheetId="1">
        <row r="4">
          <cell r="A4" t="str">
            <v>3000 Salgsinnt. handelsvarer, avgiftspliktig, høy sats</v>
          </cell>
          <cell r="C4">
            <v>30000</v>
          </cell>
        </row>
        <row r="5">
          <cell r="A5" t="str">
            <v>3100 Salgsinntekter, avgiftsfri</v>
          </cell>
          <cell r="C5">
            <v>80000</v>
          </cell>
        </row>
        <row r="6">
          <cell r="A6" t="str">
            <v>3205 Kiosksalg etc</v>
          </cell>
        </row>
        <row r="7">
          <cell r="A7" t="str">
            <v>3250 Inntekter fra egne arrangementer</v>
          </cell>
        </row>
        <row r="8">
          <cell r="A8" t="str">
            <v>3440 Andre tilskudd</v>
          </cell>
          <cell r="C8">
            <v>40000</v>
          </cell>
        </row>
        <row r="9">
          <cell r="A9" t="str">
            <v>3600 Leieinntekt fast eiendom, utenfor avgiftsområdet</v>
          </cell>
          <cell r="C9">
            <v>53500</v>
          </cell>
        </row>
        <row r="10">
          <cell r="A10" t="str">
            <v>Tilskudd hovedstyret</v>
          </cell>
          <cell r="C10">
            <v>10000</v>
          </cell>
        </row>
        <row r="14">
          <cell r="A14" t="str">
            <v>4300 Innkjøp varer for videresalg, høy avgiftssats</v>
          </cell>
          <cell r="C14">
            <v>20000</v>
          </cell>
        </row>
        <row r="15">
          <cell r="A15" t="str">
            <v>4500 Fremmedytelser og underentrepriser</v>
          </cell>
          <cell r="C15">
            <v>50000</v>
          </cell>
        </row>
        <row r="16">
          <cell r="A16" t="str">
            <v>5990 Annen personalkostnad</v>
          </cell>
          <cell r="C16">
            <v>3500</v>
          </cell>
        </row>
        <row r="17">
          <cell r="A17" t="str">
            <v>6000 Avskrivninger bygninger og annen fast eiendom</v>
          </cell>
          <cell r="C17">
            <v>50000</v>
          </cell>
        </row>
        <row r="18">
          <cell r="A18" t="str">
            <v>6320 Renovasjon, vann, avløp mv.</v>
          </cell>
          <cell r="C18">
            <v>10000</v>
          </cell>
        </row>
        <row r="19">
          <cell r="A19" t="str">
            <v>6340 Lys, varme</v>
          </cell>
          <cell r="C19">
            <v>40000</v>
          </cell>
        </row>
        <row r="20">
          <cell r="A20" t="str">
            <v>6370 Vakthold</v>
          </cell>
          <cell r="C20">
            <v>10000</v>
          </cell>
        </row>
        <row r="21">
          <cell r="A21" t="str">
            <v>6490 Annen leiekostnad</v>
          </cell>
          <cell r="C21">
            <v>72000</v>
          </cell>
        </row>
        <row r="22">
          <cell r="A22" t="str">
            <v>6540 Inventar og utstyr</v>
          </cell>
          <cell r="C22">
            <v>20000</v>
          </cell>
        </row>
        <row r="23">
          <cell r="A23" t="str">
            <v>6600 Reparasjon og vedlikehold bygninger</v>
          </cell>
          <cell r="C23">
            <v>20000</v>
          </cell>
        </row>
        <row r="24">
          <cell r="A24" t="str">
            <v>6620 Reparasjon og vedlikehold utstyr</v>
          </cell>
          <cell r="C24">
            <v>15000</v>
          </cell>
        </row>
        <row r="25">
          <cell r="A25" t="str">
            <v>6800 Kontorrekvisita (Res)</v>
          </cell>
          <cell r="C25">
            <v>20000</v>
          </cell>
        </row>
        <row r="26">
          <cell r="A26" t="str">
            <v>7000 Drivstoff transportmidler</v>
          </cell>
          <cell r="C26">
            <v>10000</v>
          </cell>
        </row>
        <row r="27">
          <cell r="A27" t="str">
            <v>7162 Bevertning</v>
          </cell>
          <cell r="C27">
            <v>15000</v>
          </cell>
        </row>
        <row r="28">
          <cell r="A28" t="str">
            <v>7400 Kontingent, fradragsberettiget</v>
          </cell>
          <cell r="C28">
            <v>0</v>
          </cell>
        </row>
        <row r="29">
          <cell r="A29" t="str">
            <v>7410 Kontingent, ikke fradragsberettiget</v>
          </cell>
          <cell r="C29">
            <v>0</v>
          </cell>
        </row>
        <row r="30">
          <cell r="A30" t="str">
            <v>7420 Gaver, fradragsberettigede</v>
          </cell>
          <cell r="C30">
            <v>6000</v>
          </cell>
        </row>
        <row r="31">
          <cell r="A31" t="str">
            <v>7430 Gaver, ikke fradrag</v>
          </cell>
          <cell r="C31">
            <v>0</v>
          </cell>
        </row>
        <row r="32">
          <cell r="A32" t="str">
            <v>7500 Forsikringspremier</v>
          </cell>
          <cell r="C32">
            <v>30000</v>
          </cell>
        </row>
        <row r="33">
          <cell r="A33" t="str">
            <v>7790 Andre kostnader</v>
          </cell>
          <cell r="C33">
            <v>30000</v>
          </cell>
        </row>
      </sheetData>
      <sheetData sheetId="2">
        <row r="4">
          <cell r="A4" t="str">
            <v>3930 Treningsavgifter</v>
          </cell>
          <cell r="C4">
            <v>56000</v>
          </cell>
        </row>
        <row r="5">
          <cell r="A5" t="str">
            <v>Tilskudd hovedstyret</v>
          </cell>
          <cell r="C5">
            <v>10000</v>
          </cell>
        </row>
        <row r="9">
          <cell r="A9" t="str">
            <v>4500 Fremmedytelser og underentrepriser</v>
          </cell>
          <cell r="C9">
            <v>3000</v>
          </cell>
        </row>
        <row r="10">
          <cell r="A10" t="str">
            <v>5990 Annen personalkostnad</v>
          </cell>
          <cell r="C10">
            <v>30000</v>
          </cell>
        </row>
        <row r="11">
          <cell r="A11" t="str">
            <v>6490 Annen leiekostnad</v>
          </cell>
          <cell r="C11">
            <v>2500</v>
          </cell>
        </row>
        <row r="12">
          <cell r="A12" t="str">
            <v>6580 Idrettsutstyr</v>
          </cell>
          <cell r="C12">
            <v>10000</v>
          </cell>
        </row>
        <row r="13">
          <cell r="A13" t="str">
            <v>6860 Møter, kurs, oppdatering etc.</v>
          </cell>
          <cell r="C13">
            <v>3200</v>
          </cell>
        </row>
        <row r="14">
          <cell r="A14" t="str">
            <v>7144 Hotell</v>
          </cell>
          <cell r="C14">
            <v>20000</v>
          </cell>
        </row>
        <row r="15">
          <cell r="A15" t="str">
            <v>7410 Kontingent, ikke fradragsberettiget</v>
          </cell>
          <cell r="C15">
            <v>4000</v>
          </cell>
        </row>
        <row r="16">
          <cell r="A16" t="str">
            <v>7415 Påmelding serier, turneringer etc</v>
          </cell>
          <cell r="C16">
            <v>10000</v>
          </cell>
        </row>
        <row r="17">
          <cell r="A17" t="str">
            <v>7430 Gaver, ikke fradrag</v>
          </cell>
          <cell r="C17">
            <v>2010</v>
          </cell>
        </row>
      </sheetData>
      <sheetData sheetId="3">
        <row r="4">
          <cell r="A4" t="str">
            <v>3930 Treningsavgifter</v>
          </cell>
          <cell r="C4">
            <v>25000</v>
          </cell>
        </row>
        <row r="5">
          <cell r="A5" t="str">
            <v>Tilskudd hovedstyret</v>
          </cell>
          <cell r="C5">
            <v>10000</v>
          </cell>
        </row>
        <row r="9">
          <cell r="A9" t="str">
            <v>4500 Fremmedytelser og underentrepriser</v>
          </cell>
          <cell r="C9">
            <v>5000</v>
          </cell>
        </row>
        <row r="10">
          <cell r="A10" t="str">
            <v>5920 Yrkesskadeforsikring</v>
          </cell>
          <cell r="C10">
            <v>7950</v>
          </cell>
        </row>
        <row r="11">
          <cell r="A11" t="str">
            <v>5990 Annen personalkostnad</v>
          </cell>
          <cell r="C11">
            <v>10000</v>
          </cell>
        </row>
        <row r="12">
          <cell r="A12" t="str">
            <v>6580 Idrettsutstyr</v>
          </cell>
          <cell r="C12">
            <v>15000</v>
          </cell>
        </row>
        <row r="13">
          <cell r="A13" t="str">
            <v>7410 Kontingent, ikke fradragsberettiget</v>
          </cell>
          <cell r="C13">
            <v>3125</v>
          </cell>
        </row>
        <row r="14">
          <cell r="A14" t="str">
            <v>7415 Påmelding serier, turneringer etc</v>
          </cell>
          <cell r="C14">
            <v>1500</v>
          </cell>
        </row>
        <row r="15">
          <cell r="A15" t="str">
            <v>7420 Gaver, fradragsberettigede</v>
          </cell>
          <cell r="C15">
            <v>1000</v>
          </cell>
        </row>
      </sheetData>
      <sheetData sheetId="4">
        <row r="4">
          <cell r="A4" t="str">
            <v>3100 Salgsinntekter, avgiftsfri</v>
          </cell>
          <cell r="C4">
            <v>18500</v>
          </cell>
        </row>
        <row r="5">
          <cell r="A5" t="str">
            <v>3930 Treningsavgifter</v>
          </cell>
          <cell r="C5">
            <v>54000</v>
          </cell>
        </row>
        <row r="6">
          <cell r="A6" t="str">
            <v>Tilskudd hovedstyret</v>
          </cell>
          <cell r="C6">
            <v>10000</v>
          </cell>
        </row>
        <row r="10">
          <cell r="A10" t="str">
            <v>4500 Fremmedytelser og underentrepriser</v>
          </cell>
          <cell r="C10">
            <v>14000</v>
          </cell>
        </row>
        <row r="11">
          <cell r="A11" t="str">
            <v>5920 Yrkesskadeforsikring</v>
          </cell>
          <cell r="C11">
            <v>18000</v>
          </cell>
        </row>
        <row r="12">
          <cell r="A12" t="str">
            <v>5990 Annen personalkostnad</v>
          </cell>
          <cell r="C12">
            <v>15000</v>
          </cell>
        </row>
        <row r="13">
          <cell r="A13" t="str">
            <v>6490 Annen leiekostnad</v>
          </cell>
          <cell r="C13">
            <v>20000</v>
          </cell>
        </row>
        <row r="14">
          <cell r="A14" t="str">
            <v>6580 Idrettsutstyr</v>
          </cell>
          <cell r="C14">
            <v>15000</v>
          </cell>
        </row>
        <row r="15">
          <cell r="A15" t="str">
            <v>7410 Kontingent, ikke fradragsberettiget</v>
          </cell>
          <cell r="C15">
            <v>4000</v>
          </cell>
        </row>
        <row r="16">
          <cell r="A16" t="str">
            <v>7415 Påmelding serier, turneringer etc</v>
          </cell>
          <cell r="C16">
            <v>4000</v>
          </cell>
        </row>
      </sheetData>
      <sheetData sheetId="5">
        <row r="4">
          <cell r="A4" t="str">
            <v>3100 Salgsinntekter, avgiftsfri</v>
          </cell>
          <cell r="C4">
            <v>50000</v>
          </cell>
        </row>
        <row r="5">
          <cell r="A5" t="str">
            <v>3930 Treningsavgifter</v>
          </cell>
          <cell r="C5">
            <v>56000</v>
          </cell>
        </row>
        <row r="6">
          <cell r="A6" t="str">
            <v>Tilskudd hovedstyret</v>
          </cell>
          <cell r="C6">
            <v>40000</v>
          </cell>
        </row>
        <row r="10">
          <cell r="A10" t="str">
            <v>4500 Fremmedytelser og underentrepriser</v>
          </cell>
          <cell r="C10">
            <v>45000</v>
          </cell>
        </row>
        <row r="11">
          <cell r="A11" t="str">
            <v>5000 Lønn, honorar etc</v>
          </cell>
          <cell r="C11">
            <v>70000</v>
          </cell>
        </row>
        <row r="12">
          <cell r="A12" t="str">
            <v>5180 Feriepenger beregnet</v>
          </cell>
          <cell r="C12">
            <v>6100</v>
          </cell>
        </row>
        <row r="13">
          <cell r="A13" t="str">
            <v>5920 Yrkesskadeforsikring</v>
          </cell>
          <cell r="C13">
            <v>17500</v>
          </cell>
        </row>
        <row r="14">
          <cell r="A14" t="str">
            <v>5990 Annen personalkostnad</v>
          </cell>
          <cell r="C14">
            <v>12400</v>
          </cell>
        </row>
        <row r="15">
          <cell r="A15" t="str">
            <v>6490 Annen leiekostnad</v>
          </cell>
          <cell r="C15">
            <v>50000</v>
          </cell>
        </row>
        <row r="16">
          <cell r="A16" t="str">
            <v>6580 Idrettsutstyr</v>
          </cell>
          <cell r="C16">
            <v>25000</v>
          </cell>
        </row>
        <row r="17">
          <cell r="A17" t="str">
            <v>7410 Kontingent, ikke fradragsberettiget</v>
          </cell>
          <cell r="C17">
            <v>4000</v>
          </cell>
        </row>
        <row r="18">
          <cell r="A18" t="str">
            <v>7415 Påmelding serier, turneringer etc</v>
          </cell>
          <cell r="C18">
            <v>6200</v>
          </cell>
        </row>
        <row r="19">
          <cell r="A19" t="str">
            <v>7790 Andre kostnader</v>
          </cell>
          <cell r="C19">
            <v>500</v>
          </cell>
        </row>
      </sheetData>
      <sheetData sheetId="6">
        <row r="4">
          <cell r="A4" t="str">
            <v>3250 Inntekter fra egne arrangementer</v>
          </cell>
          <cell r="C4">
            <v>13000</v>
          </cell>
        </row>
        <row r="5">
          <cell r="A5" t="str">
            <v>Tilskudd hovedstyret</v>
          </cell>
          <cell r="C5">
            <v>0</v>
          </cell>
        </row>
        <row r="9">
          <cell r="A9" t="str">
            <v>4300 Innkjøp varer for videresalg, høy avgiftssats</v>
          </cell>
          <cell r="C9">
            <v>1000</v>
          </cell>
        </row>
        <row r="10">
          <cell r="A10" t="str">
            <v>6580 Idrettsutstyr</v>
          </cell>
          <cell r="C10">
            <v>1000</v>
          </cell>
        </row>
      </sheetData>
      <sheetData sheetId="7">
        <row r="4">
          <cell r="A4" t="str">
            <v>3400 Spesielle offentlige tilskudd</v>
          </cell>
          <cell r="C4">
            <v>0</v>
          </cell>
        </row>
        <row r="5">
          <cell r="A5" t="str">
            <v>Tilskudd hovedstyret</v>
          </cell>
          <cell r="C5">
            <v>10000</v>
          </cell>
        </row>
        <row r="9">
          <cell r="A9" t="str">
            <v>5000 Lønn, honorar etc</v>
          </cell>
          <cell r="C9">
            <v>25200</v>
          </cell>
        </row>
        <row r="10">
          <cell r="A10" t="str">
            <v>5180 Feriepenger beregnet</v>
          </cell>
          <cell r="C10">
            <v>2600</v>
          </cell>
        </row>
        <row r="11">
          <cell r="A11" t="str">
            <v>5990 Annen personalkostnad</v>
          </cell>
          <cell r="C11">
            <v>10000</v>
          </cell>
        </row>
        <row r="12">
          <cell r="A12" t="str">
            <v>6540 Inventar og utstyr</v>
          </cell>
        </row>
        <row r="13">
          <cell r="A13" t="str">
            <v>6600 Reparasjon og vedlikehold bygninger</v>
          </cell>
        </row>
        <row r="14">
          <cell r="A14" t="str">
            <v>6800 Kontorrekvisita (Res)</v>
          </cell>
        </row>
        <row r="15">
          <cell r="A15" t="str">
            <v>7790 Andre kostnader</v>
          </cell>
          <cell r="C15">
            <v>10000</v>
          </cell>
        </row>
      </sheetData>
      <sheetData sheetId="8">
        <row r="4">
          <cell r="A4" t="str">
            <v>3400 Spesielle offentlige tilskudd</v>
          </cell>
          <cell r="C4">
            <v>0</v>
          </cell>
        </row>
        <row r="5">
          <cell r="A5" t="str">
            <v>Tilskudd hovedstyret</v>
          </cell>
          <cell r="C5">
            <v>10000</v>
          </cell>
        </row>
        <row r="9">
          <cell r="A9" t="str">
            <v>5000 Lønn, honorar etc</v>
          </cell>
        </row>
        <row r="10">
          <cell r="A10" t="str">
            <v>5180 Feriepenger beregnet</v>
          </cell>
        </row>
        <row r="11">
          <cell r="A11" t="str">
            <v>5990 Annen personalkostnad</v>
          </cell>
          <cell r="C11">
            <v>10000</v>
          </cell>
        </row>
        <row r="12">
          <cell r="A12" t="str">
            <v>6540 Inventar og utstyr</v>
          </cell>
          <cell r="C12">
            <v>20000</v>
          </cell>
        </row>
        <row r="13">
          <cell r="A13" t="str">
            <v>6600 Reparasjon og vedlikehold bygninger</v>
          </cell>
        </row>
        <row r="14">
          <cell r="A14" t="str">
            <v>6800 Kontorrekvisita (Res)</v>
          </cell>
        </row>
      </sheetData>
      <sheetData sheetId="9">
        <row r="4">
          <cell r="A4" t="str">
            <v>3120 Salgsinntekt tjenester, innenlands, avgiftsfri</v>
          </cell>
          <cell r="C4">
            <v>64000</v>
          </cell>
        </row>
        <row r="5">
          <cell r="A5" t="str">
            <v>3220 Salgsinntekt tjenester, utenfor avgiftsområdet</v>
          </cell>
          <cell r="C5">
            <v>65000</v>
          </cell>
        </row>
        <row r="6">
          <cell r="A6" t="str">
            <v>3440 Andre tilskudd</v>
          </cell>
          <cell r="C6">
            <v>0</v>
          </cell>
        </row>
        <row r="7">
          <cell r="A7" t="str">
            <v>Tilskudd hovedstyret</v>
          </cell>
        </row>
        <row r="11">
          <cell r="A11" t="str">
            <v>5000 Lønn, honorar etc</v>
          </cell>
          <cell r="C11">
            <v>103000</v>
          </cell>
        </row>
        <row r="12">
          <cell r="A12" t="str">
            <v>5180 Feriepenger beregnet</v>
          </cell>
          <cell r="C12">
            <v>10000</v>
          </cell>
        </row>
        <row r="13">
          <cell r="A13" t="str">
            <v>6010 Avskrivninger transp.midler, maskiner og inventar</v>
          </cell>
          <cell r="C13">
            <v>6860</v>
          </cell>
        </row>
        <row r="14">
          <cell r="A14" t="str">
            <v>6320 Renovasjon, vann, avløp mv.</v>
          </cell>
          <cell r="C14">
            <v>25000</v>
          </cell>
        </row>
        <row r="15">
          <cell r="A15" t="str">
            <v>6340 Lys, varme</v>
          </cell>
          <cell r="C15">
            <v>45000</v>
          </cell>
        </row>
        <row r="16">
          <cell r="A16" t="str">
            <v>6360 Renhold</v>
          </cell>
          <cell r="C16">
            <v>35000</v>
          </cell>
        </row>
        <row r="17">
          <cell r="A17" t="str">
            <v>6370 Vakthold</v>
          </cell>
          <cell r="C17">
            <v>6000</v>
          </cell>
        </row>
        <row r="18">
          <cell r="A18" t="str">
            <v>6399 Annen kostnad lokaler</v>
          </cell>
          <cell r="C18">
            <v>1500</v>
          </cell>
        </row>
        <row r="19">
          <cell r="A19" t="str">
            <v>6540 Inventar og utstyr</v>
          </cell>
          <cell r="C19">
            <v>60000</v>
          </cell>
        </row>
        <row r="20">
          <cell r="A20" t="str">
            <v>6600 Reparasjon og vedlikehold bygninger</v>
          </cell>
          <cell r="C20">
            <v>80000</v>
          </cell>
        </row>
        <row r="21">
          <cell r="A21" t="str">
            <v>6620 Reparasjon og vedlikehold utstyr</v>
          </cell>
          <cell r="C21">
            <v>40000</v>
          </cell>
        </row>
        <row r="22">
          <cell r="A22" t="str">
            <v>6800 Kontorrekvisita (Res)</v>
          </cell>
          <cell r="C22">
            <v>20000</v>
          </cell>
        </row>
        <row r="23">
          <cell r="A23" t="str">
            <v>6890 Annen kontorkostnad</v>
          </cell>
          <cell r="C23">
            <v>40000</v>
          </cell>
        </row>
        <row r="24">
          <cell r="A24" t="str">
            <v>7000 Drivstoff transportmidler</v>
          </cell>
          <cell r="C24">
            <v>10000</v>
          </cell>
        </row>
        <row r="25">
          <cell r="A25" t="str">
            <v>7395 Øreavrunding</v>
          </cell>
        </row>
        <row r="26">
          <cell r="A26" t="str">
            <v>7500 Forsikringspremier</v>
          </cell>
          <cell r="C26">
            <v>20000</v>
          </cell>
        </row>
        <row r="27">
          <cell r="A27" t="str">
            <v>7830 Konstaterte tap på fordringer</v>
          </cell>
          <cell r="C27">
            <v>1000</v>
          </cell>
        </row>
      </sheetData>
      <sheetData sheetId="10">
        <row r="4">
          <cell r="A4" t="str">
            <v>3000 Salgsinnt. handelsvarer, avgiftspliktig, høy sats</v>
          </cell>
          <cell r="C4">
            <v>50000</v>
          </cell>
        </row>
        <row r="5">
          <cell r="A5" t="str">
            <v>3400 Spesielle offentlige tilskudd</v>
          </cell>
          <cell r="C5">
            <v>200000</v>
          </cell>
        </row>
        <row r="6">
          <cell r="A6" t="str">
            <v>3440 Andre tilskudd</v>
          </cell>
          <cell r="C6">
            <v>400000</v>
          </cell>
        </row>
        <row r="7">
          <cell r="A7" t="str">
            <v>3920 Medlemskontingenter</v>
          </cell>
          <cell r="C7">
            <v>70000</v>
          </cell>
        </row>
        <row r="8">
          <cell r="A8" t="str">
            <v>3930 Treningsavgifter</v>
          </cell>
          <cell r="C8">
            <v>0</v>
          </cell>
        </row>
        <row r="9">
          <cell r="A9" t="str">
            <v>Tilskudd hovedstyret</v>
          </cell>
          <cell r="C9">
            <v>-100000</v>
          </cell>
        </row>
        <row r="13">
          <cell r="A13" t="str">
            <v>4300 Innkjøp varer for videresalg, høy avgiftssats</v>
          </cell>
          <cell r="C13">
            <v>40000</v>
          </cell>
        </row>
        <row r="14">
          <cell r="A14" t="str">
            <v>5000 Lønn, honorar etc</v>
          </cell>
          <cell r="C14">
            <v>10000</v>
          </cell>
        </row>
        <row r="15">
          <cell r="A15" t="str">
            <v>5990 Annen personalkostnad</v>
          </cell>
          <cell r="C15">
            <v>10000</v>
          </cell>
        </row>
        <row r="16">
          <cell r="A16" t="str">
            <v>6000 Avskrivninger bygninger og annen fast eiendom</v>
          </cell>
          <cell r="C16">
            <v>11259</v>
          </cell>
        </row>
        <row r="17">
          <cell r="A17" t="str">
            <v>6010 Avskrivninger transp.midler, maskiner og inventar</v>
          </cell>
          <cell r="C17">
            <v>25033</v>
          </cell>
        </row>
        <row r="18">
          <cell r="A18" t="str">
            <v>6420 Leie datasystemer</v>
          </cell>
          <cell r="C18">
            <v>30000</v>
          </cell>
        </row>
        <row r="19">
          <cell r="A19" t="str">
            <v>6540 Inventar og utstyr</v>
          </cell>
          <cell r="C19">
            <v>2000</v>
          </cell>
        </row>
        <row r="20">
          <cell r="A20" t="str">
            <v>6820 Trykksaker</v>
          </cell>
          <cell r="C20">
            <v>25000</v>
          </cell>
        </row>
        <row r="21">
          <cell r="A21" t="str">
            <v>6890 Annen kontorkostnad</v>
          </cell>
          <cell r="C21">
            <v>2000</v>
          </cell>
        </row>
        <row r="22">
          <cell r="A22" t="str">
            <v>7162 Bevertning</v>
          </cell>
          <cell r="C22">
            <v>2000</v>
          </cell>
        </row>
        <row r="23">
          <cell r="A23" t="str">
            <v>7410 Kontingent, ikke fradragsberettiget</v>
          </cell>
          <cell r="C23">
            <v>2000</v>
          </cell>
        </row>
        <row r="24">
          <cell r="A24" t="str">
            <v>7770 Bank og kortgebyrer</v>
          </cell>
          <cell r="C24">
            <v>600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70FB2-B0A7-442A-AD65-8D434D7B380D}">
  <dimension ref="A3:T73"/>
  <sheetViews>
    <sheetView topLeftCell="A13" workbookViewId="0">
      <selection activeCell="A38" sqref="A38"/>
    </sheetView>
  </sheetViews>
  <sheetFormatPr defaultRowHeight="15"/>
  <cols>
    <col min="1" max="1" width="50.42578125" bestFit="1" customWidth="1"/>
    <col min="2" max="2" width="14.42578125" bestFit="1" customWidth="1"/>
    <col min="3" max="3" width="12.85546875" bestFit="1" customWidth="1"/>
    <col min="4" max="4" width="11.85546875" bestFit="1" customWidth="1"/>
    <col min="5" max="6" width="12.140625" bestFit="1" customWidth="1"/>
    <col min="7" max="7" width="12.85546875" bestFit="1" customWidth="1"/>
    <col min="8" max="10" width="11.85546875" bestFit="1" customWidth="1"/>
    <col min="11" max="11" width="12.85546875" bestFit="1" customWidth="1"/>
    <col min="12" max="12" width="13.7109375" bestFit="1" customWidth="1"/>
  </cols>
  <sheetData>
    <row r="3" spans="1:20">
      <c r="B3" s="21" t="s">
        <v>0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5</v>
      </c>
      <c r="H3" s="22" t="s">
        <v>6</v>
      </c>
      <c r="I3" s="22" t="s">
        <v>7</v>
      </c>
      <c r="J3" s="22" t="s">
        <v>8</v>
      </c>
      <c r="K3" s="22" t="s">
        <v>9</v>
      </c>
      <c r="L3" s="22" t="s">
        <v>10</v>
      </c>
      <c r="N3" s="20" t="s">
        <v>11</v>
      </c>
      <c r="O3" s="20"/>
      <c r="P3" s="20"/>
      <c r="Q3" s="20"/>
      <c r="R3" s="20"/>
      <c r="S3" s="20"/>
      <c r="T3" s="20"/>
    </row>
    <row r="4" spans="1:20">
      <c r="A4" s="14" t="s">
        <v>12</v>
      </c>
      <c r="B4" s="21"/>
      <c r="C4" s="23"/>
      <c r="D4" s="23"/>
      <c r="E4" s="23"/>
      <c r="F4" s="23"/>
      <c r="G4" s="23"/>
      <c r="H4" s="23"/>
      <c r="I4" s="23"/>
      <c r="J4" s="23"/>
      <c r="K4" s="23"/>
      <c r="L4" s="23"/>
      <c r="N4" s="20"/>
      <c r="O4" s="20"/>
      <c r="P4" s="20"/>
      <c r="Q4" s="20"/>
      <c r="R4" s="20"/>
      <c r="S4" s="20"/>
      <c r="T4" s="20"/>
    </row>
    <row r="5" spans="1:20">
      <c r="A5" s="5" t="s">
        <v>13</v>
      </c>
      <c r="B5" s="8">
        <f>SUM(C5:L5)</f>
        <v>140000</v>
      </c>
      <c r="C5" s="8">
        <f>_xlfn.XLOOKUP(A5,Skigruppa!A:A,Skigruppa!F:F,0)</f>
        <v>55000</v>
      </c>
      <c r="D5" s="8">
        <f>_xlfn.XLOOKUP(A5,Junior!A:A,Junior!F:F,0)</f>
        <v>0</v>
      </c>
      <c r="E5" s="8">
        <f>_xlfn.XLOOKUP(A5,Damer!A:A,Damer!F:F,0)</f>
        <v>0</v>
      </c>
      <c r="F5" s="8">
        <f>_xlfn.XLOOKUP(A5,'Leirsund 2'!A:A,'Leirsund 2'!F:F,0)</f>
        <v>0</v>
      </c>
      <c r="G5" s="8">
        <f>_xlfn.XLOOKUP(A5,'A-lag'!A:A,'A-lag'!F:F,0)</f>
        <v>0</v>
      </c>
      <c r="H5" s="8">
        <f>_xlfn.XLOOKUP(A5,Svømming!A:A,Svømming!F:F,0)</f>
        <v>0</v>
      </c>
      <c r="I5" s="8">
        <f>_xlfn.XLOOKUP(A5,eSport!A:A,eSport!F:F,0)</f>
        <v>0</v>
      </c>
      <c r="J5" s="8">
        <f>_xlfn.XLOOKUP(A5,Futsal!A:A,Futsal!F:F,0)</f>
        <v>0</v>
      </c>
      <c r="K5" s="8">
        <f>_xlfn.XLOOKUP(A5,Drift!A:A,Drift!F:F,0)</f>
        <v>0</v>
      </c>
      <c r="L5" s="8">
        <f>_xlfn.XLOOKUP(A5,Adm!A:A,Adm!F:F,0)</f>
        <v>85000</v>
      </c>
      <c r="N5" s="17" t="s">
        <v>14</v>
      </c>
      <c r="O5" s="18"/>
      <c r="P5" s="18"/>
      <c r="Q5" s="18"/>
      <c r="R5" s="18"/>
      <c r="S5" s="18"/>
      <c r="T5" s="19"/>
    </row>
    <row r="6" spans="1:20">
      <c r="A6" s="5" t="s">
        <v>15</v>
      </c>
      <c r="B6" s="8">
        <f t="shared" ref="B6:B18" si="0">SUM(C6:L6)</f>
        <v>108000</v>
      </c>
      <c r="C6" s="8">
        <f>_xlfn.XLOOKUP(A6,Skigruppa!A:A,Skigruppa!F:F,0)</f>
        <v>40000</v>
      </c>
      <c r="D6" s="8">
        <f>_xlfn.XLOOKUP(A6,Junior!A:A,Junior!F:F,0)</f>
        <v>0</v>
      </c>
      <c r="E6" s="8">
        <f>_xlfn.XLOOKUP(A6,Damer!A:A,Damer!F:F,0)</f>
        <v>8000</v>
      </c>
      <c r="F6" s="8">
        <f>_xlfn.XLOOKUP(A6,'Leirsund 2'!A:A,'Leirsund 2'!F:F,0)</f>
        <v>10000</v>
      </c>
      <c r="G6" s="8">
        <f>_xlfn.XLOOKUP(A6,'A-lag'!A:A,'A-lag'!F:F,0)</f>
        <v>50000</v>
      </c>
      <c r="H6" s="8">
        <f>_xlfn.XLOOKUP(A6,Svømming!A:A,Svømming!F:F,0)</f>
        <v>0</v>
      </c>
      <c r="I6" s="8">
        <f>_xlfn.XLOOKUP(A6,eSport!A:A,eSport!F:F,0)</f>
        <v>0</v>
      </c>
      <c r="J6" s="8">
        <f>_xlfn.XLOOKUP(A6,Futsal!A:A,Futsal!F:F,0)</f>
        <v>0</v>
      </c>
      <c r="K6" s="8">
        <f>_xlfn.XLOOKUP(A6,Drift!A:A,Drift!F:F,0)</f>
        <v>0</v>
      </c>
      <c r="L6" s="8">
        <f>_xlfn.XLOOKUP(A6,Adm!A:A,Adm!F:F,0)</f>
        <v>0</v>
      </c>
      <c r="N6" s="17"/>
      <c r="O6" s="18"/>
      <c r="P6" s="18"/>
      <c r="Q6" s="18"/>
      <c r="R6" s="18"/>
      <c r="S6" s="18"/>
      <c r="T6" s="19"/>
    </row>
    <row r="7" spans="1:20">
      <c r="A7" s="5" t="s">
        <v>16</v>
      </c>
      <c r="B7" s="8">
        <f t="shared" si="0"/>
        <v>85000</v>
      </c>
      <c r="C7" s="8">
        <f>_xlfn.XLOOKUP(A7,Skigruppa!A:A,Skigruppa!F:F,0)</f>
        <v>0</v>
      </c>
      <c r="D7" s="8">
        <f>_xlfn.XLOOKUP(A7,Junior!A:A,Junior!F:F,0)</f>
        <v>0</v>
      </c>
      <c r="E7" s="8">
        <f>_xlfn.XLOOKUP(A7,Damer!A:A,Damer!F:F,0)</f>
        <v>0</v>
      </c>
      <c r="F7" s="8">
        <f>_xlfn.XLOOKUP(A7,'Leirsund 2'!A:A,'Leirsund 2'!F:F,0)</f>
        <v>0</v>
      </c>
      <c r="G7" s="8">
        <f>_xlfn.XLOOKUP(A7,'A-lag'!A:A,'A-lag'!F:F,0)</f>
        <v>0</v>
      </c>
      <c r="H7" s="8">
        <f>_xlfn.XLOOKUP(A7,Svømming!A:A,Svømming!F:F,0)</f>
        <v>0</v>
      </c>
      <c r="I7" s="8">
        <f>_xlfn.XLOOKUP(A7,eSport!A:A,eSport!F:F,0)</f>
        <v>0</v>
      </c>
      <c r="J7" s="8">
        <f>_xlfn.XLOOKUP(A7,Futsal!A:A,Futsal!F:F,0)</f>
        <v>0</v>
      </c>
      <c r="K7" s="8">
        <f>_xlfn.XLOOKUP(A7,Drift!A:A,Drift!F:F,0)</f>
        <v>85000</v>
      </c>
      <c r="L7" s="8">
        <f>_xlfn.XLOOKUP(A7,Adm!A:A,Adm!F:F,0)</f>
        <v>0</v>
      </c>
      <c r="N7" s="17"/>
      <c r="O7" s="18"/>
      <c r="P7" s="18"/>
      <c r="Q7" s="18"/>
      <c r="R7" s="18"/>
      <c r="S7" s="18"/>
      <c r="T7" s="19"/>
    </row>
    <row r="8" spans="1:20">
      <c r="A8" s="5" t="s">
        <v>17</v>
      </c>
      <c r="B8" s="8">
        <f t="shared" si="0"/>
        <v>0</v>
      </c>
      <c r="C8" s="8">
        <f>_xlfn.XLOOKUP(A8,Skigruppa!A:A,Skigruppa!F:F,0)</f>
        <v>0</v>
      </c>
      <c r="D8" s="8">
        <f>_xlfn.XLOOKUP(A8,Junior!A:A,Junior!F:F,0)</f>
        <v>0</v>
      </c>
      <c r="E8" s="8">
        <f>_xlfn.XLOOKUP(A8,Damer!A:A,Damer!F:F,0)</f>
        <v>0</v>
      </c>
      <c r="F8" s="8">
        <f>_xlfn.XLOOKUP(A8,'Leirsund 2'!A:A,'Leirsund 2'!F:F,0)</f>
        <v>0</v>
      </c>
      <c r="G8" s="8">
        <f>_xlfn.XLOOKUP(A8,'A-lag'!A:A,'A-lag'!F:F,0)</f>
        <v>0</v>
      </c>
      <c r="H8" s="8">
        <f>_xlfn.XLOOKUP(A8,Svømming!A:A,Svømming!F:F,0)</f>
        <v>0</v>
      </c>
      <c r="I8" s="8">
        <f>_xlfn.XLOOKUP(A8,eSport!A:A,eSport!F:F,0)</f>
        <v>0</v>
      </c>
      <c r="J8" s="8">
        <f>_xlfn.XLOOKUP(A8,Futsal!A:A,Futsal!F:F,0)</f>
        <v>0</v>
      </c>
      <c r="K8" s="8">
        <f>_xlfn.XLOOKUP(A8,Drift!A:A,Drift!F:F,0)</f>
        <v>0</v>
      </c>
      <c r="L8" s="8">
        <f>_xlfn.XLOOKUP(A8,Adm!A:A,Adm!F:F,0)</f>
        <v>0</v>
      </c>
      <c r="N8" s="17"/>
      <c r="O8" s="18"/>
      <c r="P8" s="18"/>
      <c r="Q8" s="18"/>
      <c r="R8" s="18"/>
      <c r="S8" s="18"/>
      <c r="T8" s="19"/>
    </row>
    <row r="9" spans="1:20">
      <c r="A9" s="5" t="s">
        <v>18</v>
      </c>
      <c r="B9" s="8">
        <f t="shared" si="0"/>
        <v>105000</v>
      </c>
      <c r="C9" s="8">
        <f>_xlfn.XLOOKUP(A9,Skigruppa!A:A,Skigruppa!F:F,0)</f>
        <v>0</v>
      </c>
      <c r="D9" s="8">
        <f>_xlfn.XLOOKUP(A9,Junior!A:A,Junior!F:F,0)</f>
        <v>0</v>
      </c>
      <c r="E9" s="8">
        <f>_xlfn.XLOOKUP(A9,Damer!A:A,Damer!F:F,0)</f>
        <v>0</v>
      </c>
      <c r="F9" s="8">
        <f>_xlfn.XLOOKUP(A9,'Leirsund 2'!A:A,'Leirsund 2'!F:F,0)</f>
        <v>0</v>
      </c>
      <c r="G9" s="8">
        <f>_xlfn.XLOOKUP(A9,'A-lag'!A:A,'A-lag'!F:F,0)</f>
        <v>0</v>
      </c>
      <c r="H9" s="8">
        <f>_xlfn.XLOOKUP(A9,Svømming!A:A,Svømming!F:F,0)</f>
        <v>0</v>
      </c>
      <c r="I9" s="8">
        <f>_xlfn.XLOOKUP(A9,eSport!A:A,eSport!F:F,0)</f>
        <v>0</v>
      </c>
      <c r="J9" s="8">
        <f>_xlfn.XLOOKUP(A9,Futsal!A:A,Futsal!F:F,0)</f>
        <v>0</v>
      </c>
      <c r="K9" s="8">
        <f>_xlfn.XLOOKUP(A9,Drift!A:A,Drift!F:F,0)</f>
        <v>105000</v>
      </c>
      <c r="L9" s="8">
        <f>_xlfn.XLOOKUP(A9,Adm!A:A,Adm!F:F,0)</f>
        <v>0</v>
      </c>
      <c r="N9" s="17"/>
      <c r="O9" s="18"/>
      <c r="P9" s="18"/>
      <c r="Q9" s="18"/>
      <c r="R9" s="18"/>
      <c r="S9" s="18"/>
      <c r="T9" s="19"/>
    </row>
    <row r="10" spans="1:20">
      <c r="A10" s="5" t="s">
        <v>19</v>
      </c>
      <c r="B10" s="8">
        <f t="shared" si="0"/>
        <v>17000</v>
      </c>
      <c r="C10" s="8">
        <f>_xlfn.XLOOKUP(A10,Skigruppa!A:A,Skigruppa!F:F,0)</f>
        <v>3500</v>
      </c>
      <c r="D10" s="8">
        <f>_xlfn.XLOOKUP(A10,Junior!A:A,Junior!F:F,0)</f>
        <v>0</v>
      </c>
      <c r="E10" s="8">
        <f>_xlfn.XLOOKUP(A10,Damer!A:A,Damer!F:F,0)</f>
        <v>0</v>
      </c>
      <c r="F10" s="8">
        <f>_xlfn.XLOOKUP(A10,'Leirsund 2'!A:A,'Leirsund 2'!F:F,0)</f>
        <v>0</v>
      </c>
      <c r="G10" s="8">
        <f>_xlfn.XLOOKUP(A10,'A-lag'!A:A,'A-lag'!F:F,0)</f>
        <v>0</v>
      </c>
      <c r="H10" s="8">
        <f>_xlfn.XLOOKUP(A10,Svømming!A:A,Svømming!F:F,0)</f>
        <v>13500</v>
      </c>
      <c r="I10" s="8">
        <f>_xlfn.XLOOKUP(A10,eSport!A:A,eSport!F:F,0)</f>
        <v>0</v>
      </c>
      <c r="J10" s="8">
        <f>_xlfn.XLOOKUP(A10,Futsal!A:A,Futsal!F:F,0)</f>
        <v>0</v>
      </c>
      <c r="K10" s="8">
        <f>_xlfn.XLOOKUP(A10,Drift!A:A,Drift!F:F,0)</f>
        <v>0</v>
      </c>
      <c r="L10" s="8">
        <f>_xlfn.XLOOKUP(A10,Adm!A:A,Adm!F:F,0)</f>
        <v>0</v>
      </c>
      <c r="N10" s="17"/>
      <c r="O10" s="18"/>
      <c r="P10" s="18"/>
      <c r="Q10" s="18"/>
      <c r="R10" s="18"/>
      <c r="S10" s="18"/>
      <c r="T10" s="19"/>
    </row>
    <row r="11" spans="1:20">
      <c r="A11" s="5" t="s">
        <v>20</v>
      </c>
      <c r="B11" s="8">
        <f t="shared" si="0"/>
        <v>92000</v>
      </c>
      <c r="C11" s="8">
        <f>_xlfn.XLOOKUP(A11,Skigruppa!A:A,Skigruppa!F:F,0)</f>
        <v>0</v>
      </c>
      <c r="D11" s="8">
        <f>_xlfn.XLOOKUP(A11,Junior!A:A,Junior!F:F,0)</f>
        <v>0</v>
      </c>
      <c r="E11" s="8">
        <f>_xlfn.XLOOKUP(A11,Damer!A:A,Damer!F:F,0)</f>
        <v>0</v>
      </c>
      <c r="F11" s="8">
        <f>_xlfn.XLOOKUP(A11,'Leirsund 2'!A:A,'Leirsund 2'!F:F,0)</f>
        <v>0</v>
      </c>
      <c r="G11" s="8">
        <f>_xlfn.XLOOKUP(A11,'A-lag'!A:A,'A-lag'!F:F,0)</f>
        <v>0</v>
      </c>
      <c r="H11" s="8">
        <f>_xlfn.XLOOKUP(A11,Svømming!A:A,Svømming!F:F,0)</f>
        <v>0</v>
      </c>
      <c r="I11" s="8">
        <f>_xlfn.XLOOKUP(A11,eSport!A:A,eSport!F:F,0)</f>
        <v>0</v>
      </c>
      <c r="J11" s="8">
        <f>_xlfn.XLOOKUP(A11,Futsal!A:A,Futsal!F:F,0)</f>
        <v>0</v>
      </c>
      <c r="K11" s="8">
        <f>_xlfn.XLOOKUP(A11,Drift!A:A,Drift!F:F,0)</f>
        <v>0</v>
      </c>
      <c r="L11" s="8">
        <f>_xlfn.XLOOKUP(A11,Adm!A:A,Adm!F:F,0)</f>
        <v>92000</v>
      </c>
      <c r="N11" s="17"/>
      <c r="O11" s="18"/>
      <c r="P11" s="18"/>
      <c r="Q11" s="18"/>
      <c r="R11" s="18"/>
      <c r="S11" s="18"/>
      <c r="T11" s="19"/>
    </row>
    <row r="12" spans="1:20">
      <c r="A12" s="5" t="s">
        <v>21</v>
      </c>
      <c r="B12" s="8">
        <f t="shared" si="0"/>
        <v>890000</v>
      </c>
      <c r="C12" s="8">
        <f>_xlfn.XLOOKUP(A12,Skigruppa!A:A,Skigruppa!F:F,0)</f>
        <v>20000</v>
      </c>
      <c r="D12" s="8">
        <f>_xlfn.XLOOKUP(A12,Junior!A:A,Junior!F:F,0)</f>
        <v>0</v>
      </c>
      <c r="E12" s="8">
        <f>_xlfn.XLOOKUP(A12,Damer!A:A,Damer!F:F,0)</f>
        <v>0</v>
      </c>
      <c r="F12" s="8">
        <f>_xlfn.XLOOKUP(A12,'Leirsund 2'!A:A,'Leirsund 2'!F:F,0)</f>
        <v>0</v>
      </c>
      <c r="G12" s="8">
        <f>_xlfn.XLOOKUP(A12,'A-lag'!A:A,'A-lag'!F:F,0)</f>
        <v>0</v>
      </c>
      <c r="H12" s="8">
        <f>_xlfn.XLOOKUP(A12,Svømming!A:A,Svømming!F:F,0)</f>
        <v>0</v>
      </c>
      <c r="I12" s="8">
        <f>_xlfn.XLOOKUP(A12,eSport!A:A,eSport!F:F,0)</f>
        <v>0</v>
      </c>
      <c r="J12" s="8">
        <f>_xlfn.XLOOKUP(A12,Futsal!A:A,Futsal!F:F,0)</f>
        <v>0</v>
      </c>
      <c r="K12" s="8">
        <f>_xlfn.XLOOKUP(A12,Drift!A:A,Drift!F:F,0)</f>
        <v>0</v>
      </c>
      <c r="L12" s="8">
        <f>_xlfn.XLOOKUP(A12,Adm!A:A,Adm!F:F,0)</f>
        <v>870000</v>
      </c>
      <c r="N12" s="17"/>
      <c r="O12" s="18"/>
      <c r="P12" s="18"/>
      <c r="Q12" s="18"/>
      <c r="R12" s="18"/>
      <c r="S12" s="18"/>
      <c r="T12" s="19"/>
    </row>
    <row r="13" spans="1:20">
      <c r="A13" s="5" t="s">
        <v>22</v>
      </c>
      <c r="B13" s="8">
        <f t="shared" si="0"/>
        <v>30000</v>
      </c>
      <c r="C13" s="8">
        <f>_xlfn.XLOOKUP(A13,Skigruppa!A:A,Skigruppa!F:F,0)</f>
        <v>30000</v>
      </c>
      <c r="D13" s="8">
        <f>_xlfn.XLOOKUP(A13,Junior!A:A,Junior!F:F,0)</f>
        <v>0</v>
      </c>
      <c r="E13" s="8">
        <f>_xlfn.XLOOKUP(A13,Damer!A:A,Damer!F:F,0)</f>
        <v>0</v>
      </c>
      <c r="F13" s="8">
        <f>_xlfn.XLOOKUP(A13,'Leirsund 2'!A:A,'Leirsund 2'!F:F,0)</f>
        <v>0</v>
      </c>
      <c r="G13" s="8">
        <f>_xlfn.XLOOKUP(A13,'A-lag'!A:A,'A-lag'!F:F,0)</f>
        <v>0</v>
      </c>
      <c r="H13" s="8">
        <f>_xlfn.XLOOKUP(A13,Svømming!A:A,Svømming!F:F,0)</f>
        <v>0</v>
      </c>
      <c r="I13" s="8">
        <f>_xlfn.XLOOKUP(A13,eSport!A:A,eSport!F:F,0)</f>
        <v>0</v>
      </c>
      <c r="J13" s="8">
        <f>_xlfn.XLOOKUP(A13,Futsal!A:A,Futsal!F:F,0)</f>
        <v>0</v>
      </c>
      <c r="K13" s="8">
        <f>_xlfn.XLOOKUP(A13,Drift!A:A,Drift!F:F,0)</f>
        <v>0</v>
      </c>
      <c r="L13" s="8">
        <f>_xlfn.XLOOKUP(A13,Adm!A:A,Adm!F:F,0)</f>
        <v>0</v>
      </c>
      <c r="N13" s="17"/>
      <c r="O13" s="18"/>
      <c r="P13" s="18"/>
      <c r="Q13" s="18"/>
      <c r="R13" s="18"/>
      <c r="S13" s="18"/>
      <c r="T13" s="19"/>
    </row>
    <row r="14" spans="1:20">
      <c r="A14" s="5" t="s">
        <v>23</v>
      </c>
      <c r="B14" s="8">
        <f t="shared" si="0"/>
        <v>75000</v>
      </c>
      <c r="C14" s="8">
        <f>_xlfn.XLOOKUP(A14,Skigruppa!A:A,Skigruppa!F:F,0)</f>
        <v>0</v>
      </c>
      <c r="D14" s="8">
        <f>_xlfn.XLOOKUP(A14,Junior!A:A,Junior!F:F,0)</f>
        <v>0</v>
      </c>
      <c r="E14" s="8">
        <f>_xlfn.XLOOKUP(A14,Damer!A:A,Damer!F:F,0)</f>
        <v>0</v>
      </c>
      <c r="F14" s="8">
        <f>_xlfn.XLOOKUP(A14,'Leirsund 2'!A:A,'Leirsund 2'!F:F,0)</f>
        <v>0</v>
      </c>
      <c r="G14" s="8">
        <f>_xlfn.XLOOKUP(A14,'A-lag'!A:A,'A-lag'!F:F,0)</f>
        <v>0</v>
      </c>
      <c r="H14" s="8">
        <f>_xlfn.XLOOKUP(A14,Svømming!A:A,Svømming!F:F,0)</f>
        <v>0</v>
      </c>
      <c r="I14" s="8">
        <f>_xlfn.XLOOKUP(A14,eSport!A:A,eSport!F:F,0)</f>
        <v>0</v>
      </c>
      <c r="J14" s="8">
        <f>_xlfn.XLOOKUP(A14,Futsal!A:A,Futsal!F:F,0)</f>
        <v>0</v>
      </c>
      <c r="K14" s="8">
        <f>_xlfn.XLOOKUP(A14,Drift!A:A,Drift!F:F,0)</f>
        <v>0</v>
      </c>
      <c r="L14" s="8">
        <f>_xlfn.XLOOKUP(A14,Adm!A:A,Adm!F:F,0)</f>
        <v>75000</v>
      </c>
      <c r="N14" s="17"/>
      <c r="O14" s="18"/>
      <c r="P14" s="18"/>
      <c r="Q14" s="18"/>
      <c r="R14" s="18"/>
      <c r="S14" s="18"/>
      <c r="T14" s="19"/>
    </row>
    <row r="15" spans="1:20">
      <c r="A15" s="5" t="s">
        <v>24</v>
      </c>
      <c r="B15" s="8">
        <f t="shared" si="0"/>
        <v>187000</v>
      </c>
      <c r="C15" s="8">
        <f>_xlfn.XLOOKUP(A15,Skigruppa!A:A,Skigruppa!F:F,0)</f>
        <v>0</v>
      </c>
      <c r="D15" s="8">
        <f>_xlfn.XLOOKUP(A15,Junior!A:A,Junior!F:F,0)</f>
        <v>45000</v>
      </c>
      <c r="E15" s="8">
        <f>_xlfn.XLOOKUP(A15,Damer!A:A,Damer!F:F,0)</f>
        <v>28000</v>
      </c>
      <c r="F15" s="8">
        <f>_xlfn.XLOOKUP(A15,'Leirsund 2'!A:A,'Leirsund 2'!F:F,0)</f>
        <v>50000</v>
      </c>
      <c r="G15" s="8">
        <f>_xlfn.XLOOKUP(A15,'A-lag'!A:A,'A-lag'!F:F,0)</f>
        <v>64000</v>
      </c>
      <c r="H15" s="8">
        <f>_xlfn.XLOOKUP(A15,Svømming!A:A,Svømming!F:F,0)</f>
        <v>0</v>
      </c>
      <c r="I15" s="8">
        <f>_xlfn.XLOOKUP(A15,eSport!A:A,eSport!F:F,0)</f>
        <v>0</v>
      </c>
      <c r="J15" s="8">
        <f>_xlfn.XLOOKUP(A15,Futsal!A:A,Futsal!F:F,0)</f>
        <v>0</v>
      </c>
      <c r="K15" s="8">
        <f>_xlfn.XLOOKUP(A15,Drift!A:A,Drift!F:F,0)</f>
        <v>0</v>
      </c>
      <c r="L15" s="8">
        <f>_xlfn.XLOOKUP(A15,Adm!A:A,Adm!F:F,0)</f>
        <v>0</v>
      </c>
      <c r="N15" s="17"/>
      <c r="O15" s="18"/>
      <c r="P15" s="18"/>
      <c r="Q15" s="18"/>
      <c r="R15" s="18"/>
      <c r="S15" s="18"/>
      <c r="T15" s="19"/>
    </row>
    <row r="16" spans="1:20">
      <c r="A16" s="5" t="s">
        <v>25</v>
      </c>
      <c r="B16" s="8">
        <f t="shared" si="0"/>
        <v>0</v>
      </c>
      <c r="C16" s="8">
        <f>_xlfn.XLOOKUP(A16,Skigruppa!A:A,Skigruppa!F:F,0)</f>
        <v>0</v>
      </c>
      <c r="D16" s="8">
        <f>_xlfn.XLOOKUP(A16,Junior!A:A,Junior!F:F,0)</f>
        <v>0</v>
      </c>
      <c r="E16" s="8">
        <f>_xlfn.XLOOKUP(A16,Damer!A:A,Damer!F:F,0)</f>
        <v>0</v>
      </c>
      <c r="F16" s="8">
        <f>_xlfn.XLOOKUP(A16,'Leirsund 2'!A:A,'Leirsund 2'!F:F,0)</f>
        <v>0</v>
      </c>
      <c r="G16" s="8">
        <f>_xlfn.XLOOKUP(A16,'A-lag'!A:A,'A-lag'!F:F,0)</f>
        <v>0</v>
      </c>
      <c r="H16" s="8">
        <f>_xlfn.XLOOKUP(A16,Svømming!A:A,Svømming!F:F,0)</f>
        <v>0</v>
      </c>
      <c r="I16" s="8">
        <f>_xlfn.XLOOKUP(A16,eSport!A:A,eSport!F:F,0)</f>
        <v>0</v>
      </c>
      <c r="J16" s="8">
        <f>_xlfn.XLOOKUP(A16,Futsal!A:A,Futsal!F:F,0)</f>
        <v>0</v>
      </c>
      <c r="K16" s="8">
        <f>_xlfn.XLOOKUP(A16,Drift!A:A,Drift!F:F,0)</f>
        <v>0</v>
      </c>
      <c r="L16" s="8">
        <f>_xlfn.XLOOKUP(A16,Adm!A:A,Adm!F:F,0)</f>
        <v>0</v>
      </c>
      <c r="N16" s="17"/>
      <c r="O16" s="18"/>
      <c r="P16" s="18"/>
      <c r="Q16" s="18"/>
      <c r="R16" s="18"/>
      <c r="S16" s="18"/>
      <c r="T16" s="19"/>
    </row>
    <row r="17" spans="1:20">
      <c r="A17" s="5" t="s">
        <v>26</v>
      </c>
      <c r="B17" s="8">
        <f t="shared" si="0"/>
        <v>52500</v>
      </c>
      <c r="C17" s="8">
        <f>_xlfn.XLOOKUP(A17,Skigruppa!A:A,Skigruppa!F:F,0)</f>
        <v>0</v>
      </c>
      <c r="D17" s="8">
        <f>_xlfn.XLOOKUP(A17,Junior!A:A,Junior!F:F,0)</f>
        <v>15000</v>
      </c>
      <c r="E17" s="8">
        <f>_xlfn.XLOOKUP(A17,Damer!A:A,Damer!F:F,0)</f>
        <v>20000</v>
      </c>
      <c r="F17" s="8">
        <f>_xlfn.XLOOKUP(A17,'Leirsund 2'!A:A,'Leirsund 2'!F:F,0)</f>
        <v>2500</v>
      </c>
      <c r="G17" s="8">
        <f>_xlfn.XLOOKUP(A17,'A-lag'!A:A,'A-lag'!F:F,0)</f>
        <v>15000</v>
      </c>
      <c r="H17" s="8">
        <f>_xlfn.XLOOKUP(A17,Svømming!A:A,Svømming!F:F,0)</f>
        <v>0</v>
      </c>
      <c r="I17" s="8">
        <f>_xlfn.XLOOKUP(A17,eSport!A:A,eSport!F:F,0)</f>
        <v>0</v>
      </c>
      <c r="J17" s="8">
        <f>_xlfn.XLOOKUP(A17,Futsal!A:A,Futsal!F:F,0)</f>
        <v>0</v>
      </c>
      <c r="K17" s="8">
        <f>_xlfn.XLOOKUP(A17,Drift!A:A,Drift!F:F,0)</f>
        <v>0</v>
      </c>
      <c r="L17" s="8">
        <f>_xlfn.XLOOKUP(A17,Adm!A:A,Adm!F:F,0)</f>
        <v>0</v>
      </c>
      <c r="N17" s="17"/>
      <c r="O17" s="18"/>
      <c r="P17" s="18"/>
      <c r="Q17" s="18"/>
      <c r="R17" s="18"/>
      <c r="S17" s="18"/>
      <c r="T17" s="19"/>
    </row>
    <row r="18" spans="1:20">
      <c r="A18" s="5" t="s">
        <v>27</v>
      </c>
      <c r="B18" s="8">
        <f t="shared" si="0"/>
        <v>60000</v>
      </c>
      <c r="C18" s="8">
        <f>_xlfn.XLOOKUP(A18,Skigruppa!A:A,Skigruppa!F:F,0)</f>
        <v>10000</v>
      </c>
      <c r="D18" s="8">
        <f>_xlfn.XLOOKUP(A18,Junior!A:A,Junior!F:F,0)</f>
        <v>10000</v>
      </c>
      <c r="E18" s="8">
        <f>_xlfn.XLOOKUP(A18,Damer!A:A,Damer!F:F,0)</f>
        <v>10000</v>
      </c>
      <c r="F18" s="8">
        <f>_xlfn.XLOOKUP(A18,'Leirsund 2'!A:A,'Leirsund 2'!F:F,0)</f>
        <v>10000</v>
      </c>
      <c r="G18" s="8">
        <f>_xlfn.XLOOKUP(A18,'A-lag'!A:A,'A-lag'!F:F,0)</f>
        <v>10000</v>
      </c>
      <c r="H18" s="8">
        <f>_xlfn.XLOOKUP(A18,Svømming!A:A,Svømming!F:F,0)</f>
        <v>0</v>
      </c>
      <c r="I18" s="8">
        <f>_xlfn.XLOOKUP(A18,eSport!A:A,eSport!F:F,0)</f>
        <v>10000</v>
      </c>
      <c r="J18" s="8">
        <f>_xlfn.XLOOKUP(A18,Futsal!A:A,Futsal!F:F,0)</f>
        <v>0</v>
      </c>
      <c r="K18" s="8">
        <f>_xlfn.XLOOKUP(A18,Drift!A:A,Drift!F:F,0)</f>
        <v>0</v>
      </c>
      <c r="L18" s="8">
        <f>_xlfn.XLOOKUP(A18,Adm!A:A,Adm!F:F,0)</f>
        <v>0</v>
      </c>
      <c r="N18" s="17"/>
      <c r="O18" s="18"/>
      <c r="P18" s="18"/>
      <c r="Q18" s="18"/>
      <c r="R18" s="18"/>
      <c r="S18" s="18"/>
      <c r="T18" s="19"/>
    </row>
    <row r="19" spans="1:20"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1:20">
      <c r="A20" s="15" t="s">
        <v>28</v>
      </c>
      <c r="B20" s="16">
        <f t="shared" ref="B20:K20" si="1">SUM(B5:B18)</f>
        <v>1841500</v>
      </c>
      <c r="C20" s="16">
        <f t="shared" si="1"/>
        <v>158500</v>
      </c>
      <c r="D20" s="16">
        <f t="shared" si="1"/>
        <v>70000</v>
      </c>
      <c r="E20" s="16">
        <f t="shared" si="1"/>
        <v>66000</v>
      </c>
      <c r="F20" s="16">
        <f t="shared" si="1"/>
        <v>72500</v>
      </c>
      <c r="G20" s="16">
        <f t="shared" si="1"/>
        <v>139000</v>
      </c>
      <c r="H20" s="16">
        <f t="shared" si="1"/>
        <v>13500</v>
      </c>
      <c r="I20" s="16">
        <f t="shared" si="1"/>
        <v>10000</v>
      </c>
      <c r="J20" s="16">
        <f t="shared" si="1"/>
        <v>0</v>
      </c>
      <c r="K20" s="16">
        <f t="shared" si="1"/>
        <v>190000</v>
      </c>
      <c r="L20" s="16">
        <f>SUM(L5:L18)</f>
        <v>1122000</v>
      </c>
    </row>
    <row r="21" spans="1:20">
      <c r="A21" s="1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1:20">
      <c r="B22" s="21" t="s">
        <v>0</v>
      </c>
      <c r="C22" s="21" t="s">
        <v>1</v>
      </c>
      <c r="D22" s="21" t="s">
        <v>2</v>
      </c>
      <c r="E22" s="21" t="s">
        <v>3</v>
      </c>
      <c r="F22" s="21" t="s">
        <v>4</v>
      </c>
      <c r="G22" s="21" t="s">
        <v>5</v>
      </c>
      <c r="H22" s="21" t="s">
        <v>6</v>
      </c>
      <c r="I22" s="21" t="s">
        <v>7</v>
      </c>
      <c r="J22" s="21" t="s">
        <v>8</v>
      </c>
      <c r="K22" s="21" t="s">
        <v>9</v>
      </c>
      <c r="L22" s="21" t="s">
        <v>10</v>
      </c>
      <c r="N22" s="20" t="s">
        <v>11</v>
      </c>
      <c r="O22" s="20"/>
      <c r="P22" s="20"/>
      <c r="Q22" s="20"/>
      <c r="R22" s="20"/>
      <c r="S22" s="20"/>
      <c r="T22" s="20"/>
    </row>
    <row r="23" spans="1:20">
      <c r="A23" s="15" t="s">
        <v>29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N23" s="20"/>
      <c r="O23" s="20"/>
      <c r="P23" s="20"/>
      <c r="Q23" s="20"/>
      <c r="R23" s="20"/>
      <c r="S23" s="20"/>
      <c r="T23" s="20"/>
    </row>
    <row r="24" spans="1:20">
      <c r="A24" s="5" t="s">
        <v>30</v>
      </c>
      <c r="B24" s="8">
        <f>SUM(C24:L24)</f>
        <v>85000</v>
      </c>
      <c r="C24" s="8">
        <f>_xlfn.XLOOKUP(A24,Skigruppa!A:A,Skigruppa!F:F,0)</f>
        <v>27000</v>
      </c>
      <c r="D24" s="8">
        <f>_xlfn.XLOOKUP(A24,Junior!A:A,Junior!F:F,0)</f>
        <v>0</v>
      </c>
      <c r="E24" s="8">
        <f>_xlfn.XLOOKUP(A24,Damer!A:A,Damer!F:F,0)</f>
        <v>0</v>
      </c>
      <c r="F24" s="8">
        <f>_xlfn.XLOOKUP(A24,'Leirsund 2'!A:A,'Leirsund 2'!F:F,0)</f>
        <v>0</v>
      </c>
      <c r="G24" s="8">
        <f>_xlfn.XLOOKUP(A24,'A-lag'!A:A,'A-lag'!F:F,0)</f>
        <v>0</v>
      </c>
      <c r="H24" s="8">
        <f>_xlfn.XLOOKUP(A24,Svømming!A:A,Svømming!F:F,0)</f>
        <v>3000</v>
      </c>
      <c r="I24" s="8">
        <f>_xlfn.XLOOKUP(A24,eSport!A:A,eSport!F:F,0)</f>
        <v>0</v>
      </c>
      <c r="J24" s="8">
        <f>_xlfn.XLOOKUP(A24,Futsal!A:A,Futsal!F:F,0)</f>
        <v>0</v>
      </c>
      <c r="K24" s="8">
        <f>_xlfn.XLOOKUP(A24,Drift!A:A,Drift!F:F,0)</f>
        <v>0</v>
      </c>
      <c r="L24" s="8">
        <f>_xlfn.XLOOKUP(A24,Adm!A:A,Adm!F:F,0)</f>
        <v>55000</v>
      </c>
      <c r="N24" s="17" t="s">
        <v>14</v>
      </c>
      <c r="O24" s="18"/>
      <c r="P24" s="18"/>
      <c r="Q24" s="18"/>
      <c r="R24" s="18"/>
      <c r="S24" s="18"/>
      <c r="T24" s="19"/>
    </row>
    <row r="25" spans="1:20">
      <c r="A25" s="5" t="s">
        <v>31</v>
      </c>
      <c r="B25" s="8">
        <f t="shared" ref="B25:B62" si="2">SUM(C25:L25)</f>
        <v>152000</v>
      </c>
      <c r="C25" s="8">
        <f>_xlfn.XLOOKUP(A25,Skigruppa!A:A,Skigruppa!F:F,0)</f>
        <v>0</v>
      </c>
      <c r="D25" s="8">
        <f>_xlfn.XLOOKUP(A25,Junior!A:A,Junior!F:F,0)</f>
        <v>7000</v>
      </c>
      <c r="E25" s="8">
        <f>_xlfn.XLOOKUP(A25,Damer!A:A,Damer!F:F,0)</f>
        <v>5000</v>
      </c>
      <c r="F25" s="8">
        <f>_xlfn.XLOOKUP(A25,'Leirsund 2'!A:A,'Leirsund 2'!F:F,0)</f>
        <v>10000</v>
      </c>
      <c r="G25" s="8">
        <f>_xlfn.XLOOKUP(A25,'A-lag'!A:A,'A-lag'!F:F,0)</f>
        <v>45000</v>
      </c>
      <c r="H25" s="8">
        <f>_xlfn.XLOOKUP(A25,Svømming!A:A,Svømming!F:F,0)</f>
        <v>10000</v>
      </c>
      <c r="I25" s="8">
        <f>_xlfn.XLOOKUP(A25,eSport!A:A,eSport!F:F,0)</f>
        <v>0</v>
      </c>
      <c r="J25" s="8">
        <f>_xlfn.XLOOKUP(A25,Futsal!A:A,Futsal!F:F,0)</f>
        <v>0</v>
      </c>
      <c r="K25" s="8">
        <f>_xlfn.XLOOKUP(A25,Drift!A:A,Drift!F:F,0)</f>
        <v>0</v>
      </c>
      <c r="L25" s="8">
        <f>_xlfn.XLOOKUP(A25,Adm!A:A,Adm!F:F,0)</f>
        <v>75000</v>
      </c>
      <c r="N25" s="17"/>
      <c r="O25" s="18"/>
      <c r="P25" s="18"/>
      <c r="Q25" s="18"/>
      <c r="R25" s="18"/>
      <c r="S25" s="18"/>
      <c r="T25" s="19"/>
    </row>
    <row r="26" spans="1:20">
      <c r="A26" s="5" t="s">
        <v>32</v>
      </c>
      <c r="B26" s="8">
        <f t="shared" si="2"/>
        <v>305000</v>
      </c>
      <c r="C26" s="8">
        <f>_xlfn.XLOOKUP(A26,Skigruppa!A:A,Skigruppa!F:F,0)</f>
        <v>45000</v>
      </c>
      <c r="D26" s="8">
        <f>_xlfn.XLOOKUP(A26,Junior!A:A,Junior!F:F,0)</f>
        <v>0</v>
      </c>
      <c r="E26" s="8">
        <f>_xlfn.XLOOKUP(A26,Damer!A:A,Damer!F:F,0)</f>
        <v>0</v>
      </c>
      <c r="F26" s="8">
        <f>_xlfn.XLOOKUP(A26,'Leirsund 2'!A:A,'Leirsund 2'!F:F,0)</f>
        <v>0</v>
      </c>
      <c r="G26" s="8">
        <f>_xlfn.XLOOKUP(A26,'A-lag'!A:A,'A-lag'!F:F,0)</f>
        <v>100000</v>
      </c>
      <c r="H26" s="8">
        <f>_xlfn.XLOOKUP(A26,Svømming!A:A,Svømming!F:F,0)</f>
        <v>0</v>
      </c>
      <c r="I26" s="8">
        <f>_xlfn.XLOOKUP(A26,eSport!A:A,eSport!F:F,0)</f>
        <v>30000</v>
      </c>
      <c r="J26" s="8">
        <f>_xlfn.XLOOKUP(A26,Futsal!A:A,Futsal!F:F,0)</f>
        <v>0</v>
      </c>
      <c r="K26" s="8">
        <f>_xlfn.XLOOKUP(A26,Drift!A:A,Drift!F:F,0)</f>
        <v>100000</v>
      </c>
      <c r="L26" s="8">
        <f>_xlfn.XLOOKUP(A26,Adm!A:A,Adm!F:F,0)</f>
        <v>30000</v>
      </c>
      <c r="N26" s="17"/>
      <c r="O26" s="18"/>
      <c r="P26" s="18"/>
      <c r="Q26" s="18"/>
      <c r="R26" s="18"/>
      <c r="S26" s="18"/>
      <c r="T26" s="19"/>
    </row>
    <row r="27" spans="1:20">
      <c r="A27" s="5" t="s">
        <v>33</v>
      </c>
      <c r="B27" s="8">
        <f t="shared" si="2"/>
        <v>27700</v>
      </c>
      <c r="C27" s="8">
        <f>_xlfn.XLOOKUP(A27,Skigruppa!A:A,Skigruppa!F:F,0)</f>
        <v>6000</v>
      </c>
      <c r="D27" s="8">
        <f>_xlfn.XLOOKUP(A27,Junior!A:A,Junior!F:F,0)</f>
        <v>0</v>
      </c>
      <c r="E27" s="8">
        <f>_xlfn.XLOOKUP(A27,Damer!A:A,Damer!F:F,0)</f>
        <v>0</v>
      </c>
      <c r="F27" s="8">
        <f>_xlfn.XLOOKUP(A27,'Leirsund 2'!A:A,'Leirsund 2'!F:F,0)</f>
        <v>0</v>
      </c>
      <c r="G27" s="8">
        <f>_xlfn.XLOOKUP(A27,'A-lag'!A:A,'A-lag'!F:F,0)</f>
        <v>8500</v>
      </c>
      <c r="H27" s="8">
        <f>_xlfn.XLOOKUP(A27,Svømming!A:A,Svømming!F:F,0)</f>
        <v>0</v>
      </c>
      <c r="I27" s="8">
        <f>_xlfn.XLOOKUP(A27,eSport!A:A,eSport!F:F,0)</f>
        <v>3200</v>
      </c>
      <c r="J27" s="8">
        <f>_xlfn.XLOOKUP(A27,Futsal!A:A,Futsal!F:F,0)</f>
        <v>0</v>
      </c>
      <c r="K27" s="8">
        <f>_xlfn.XLOOKUP(A27,Drift!A:A,Drift!F:F,0)</f>
        <v>10000</v>
      </c>
      <c r="L27" s="8">
        <f>_xlfn.XLOOKUP(A27,Adm!A:A,Adm!F:F,0)</f>
        <v>0</v>
      </c>
      <c r="N27" s="17"/>
      <c r="O27" s="18"/>
      <c r="P27" s="18"/>
      <c r="Q27" s="18"/>
      <c r="R27" s="18"/>
      <c r="S27" s="18"/>
      <c r="T27" s="19"/>
    </row>
    <row r="28" spans="1:20">
      <c r="A28" s="5" t="s">
        <v>34</v>
      </c>
      <c r="B28" s="8">
        <f t="shared" si="2"/>
        <v>57000</v>
      </c>
      <c r="C28" s="8">
        <f>_xlfn.XLOOKUP(A28,Skigruppa!A:A,Skigruppa!F:F,0)</f>
        <v>0</v>
      </c>
      <c r="D28" s="8">
        <f>_xlfn.XLOOKUP(A28,Junior!A:A,Junior!F:F,0)</f>
        <v>0</v>
      </c>
      <c r="E28" s="8">
        <f>_xlfn.XLOOKUP(A28,Damer!A:A,Damer!F:F,0)</f>
        <v>10000</v>
      </c>
      <c r="F28" s="8">
        <f>_xlfn.XLOOKUP(A28,'Leirsund 2'!A:A,'Leirsund 2'!F:F,0)</f>
        <v>20000</v>
      </c>
      <c r="G28" s="8">
        <f>_xlfn.XLOOKUP(A28,'A-lag'!A:A,'A-lag'!F:F,0)</f>
        <v>27000</v>
      </c>
      <c r="H28" s="8">
        <f>_xlfn.XLOOKUP(A28,Svømming!A:A,Svømming!F:F,0)</f>
        <v>0</v>
      </c>
      <c r="I28" s="8">
        <f>_xlfn.XLOOKUP(A28,eSport!A:A,eSport!F:F,0)</f>
        <v>0</v>
      </c>
      <c r="J28" s="8">
        <f>_xlfn.XLOOKUP(A28,Futsal!A:A,Futsal!F:F,0)</f>
        <v>0</v>
      </c>
      <c r="K28" s="8">
        <f>_xlfn.XLOOKUP(A28,Drift!A:A,Drift!F:F,0)</f>
        <v>0</v>
      </c>
      <c r="L28" s="8">
        <f>_xlfn.XLOOKUP(A28,Adm!A:A,Adm!F:F,0)</f>
        <v>0</v>
      </c>
      <c r="N28" s="17"/>
      <c r="O28" s="18"/>
      <c r="P28" s="18"/>
      <c r="Q28" s="18"/>
      <c r="R28" s="18"/>
      <c r="S28" s="18"/>
      <c r="T28" s="19"/>
    </row>
    <row r="29" spans="1:20">
      <c r="A29" s="5" t="s">
        <v>35</v>
      </c>
      <c r="B29" s="8">
        <f t="shared" si="2"/>
        <v>72600</v>
      </c>
      <c r="C29" s="8">
        <f>_xlfn.XLOOKUP(A29,Skigruppa!A:A,Skigruppa!F:F,0)</f>
        <v>5000</v>
      </c>
      <c r="D29" s="8">
        <f>_xlfn.XLOOKUP(A29,Junior!A:A,Junior!F:F,0)</f>
        <v>12000</v>
      </c>
      <c r="E29" s="8">
        <f>_xlfn.XLOOKUP(A29,Damer!A:A,Damer!F:F,0)</f>
        <v>17000</v>
      </c>
      <c r="F29" s="8">
        <f>_xlfn.XLOOKUP(A29,'Leirsund 2'!A:A,'Leirsund 2'!F:F,0)</f>
        <v>13000</v>
      </c>
      <c r="G29" s="8">
        <f>_xlfn.XLOOKUP(A29,'A-lag'!A:A,'A-lag'!F:F,0)</f>
        <v>3600</v>
      </c>
      <c r="H29" s="8">
        <f>_xlfn.XLOOKUP(A29,Svømming!A:A,Svømming!F:F,0)</f>
        <v>0</v>
      </c>
      <c r="I29" s="8">
        <f>_xlfn.XLOOKUP(A29,eSport!A:A,eSport!F:F,0)</f>
        <v>5000</v>
      </c>
      <c r="J29" s="8">
        <f>_xlfn.XLOOKUP(A29,Futsal!A:A,Futsal!F:F,0)</f>
        <v>0</v>
      </c>
      <c r="K29" s="8">
        <f>_xlfn.XLOOKUP(A29,Drift!A:A,Drift!F:F,0)</f>
        <v>0</v>
      </c>
      <c r="L29" s="8">
        <f>_xlfn.XLOOKUP(A29,Adm!A:A,Adm!F:F,0)</f>
        <v>17000</v>
      </c>
      <c r="N29" s="17"/>
      <c r="O29" s="18"/>
      <c r="P29" s="18"/>
      <c r="Q29" s="18"/>
      <c r="R29" s="18"/>
      <c r="S29" s="18"/>
      <c r="T29" s="19"/>
    </row>
    <row r="30" spans="1:20">
      <c r="A30" s="5" t="s">
        <v>36</v>
      </c>
      <c r="B30" s="8">
        <f t="shared" si="2"/>
        <v>50000</v>
      </c>
      <c r="C30" s="8">
        <f>_xlfn.XLOOKUP(A30,Skigruppa!A:A,Skigruppa!F:F,0)</f>
        <v>50000</v>
      </c>
      <c r="D30" s="8">
        <f>_xlfn.XLOOKUP(A30,Junior!A:A,Junior!F:F,0)</f>
        <v>0</v>
      </c>
      <c r="E30" s="8">
        <f>_xlfn.XLOOKUP(A30,Damer!A:A,Damer!F:F,0)</f>
        <v>0</v>
      </c>
      <c r="F30" s="8">
        <f>_xlfn.XLOOKUP(A30,'Leirsund 2'!A:A,'Leirsund 2'!F:F,0)</f>
        <v>0</v>
      </c>
      <c r="G30" s="8">
        <f>_xlfn.XLOOKUP(A30,'A-lag'!A:A,'A-lag'!F:F,0)</f>
        <v>0</v>
      </c>
      <c r="H30" s="8">
        <f>_xlfn.XLOOKUP(A30,Svømming!A:A,Svømming!F:F,0)</f>
        <v>0</v>
      </c>
      <c r="I30" s="8">
        <f>_xlfn.XLOOKUP(A30,eSport!A:A,eSport!F:F,0)</f>
        <v>0</v>
      </c>
      <c r="J30" s="8">
        <f>_xlfn.XLOOKUP(A30,Futsal!A:A,Futsal!F:F,0)</f>
        <v>0</v>
      </c>
      <c r="K30" s="8">
        <f>_xlfn.XLOOKUP(A30,Drift!A:A,Drift!F:F,0)</f>
        <v>0</v>
      </c>
      <c r="L30" s="8">
        <f>_xlfn.XLOOKUP(A30,Adm!A:A,Adm!F:F,0)</f>
        <v>0</v>
      </c>
      <c r="N30" s="17"/>
      <c r="O30" s="18"/>
      <c r="P30" s="18"/>
      <c r="Q30" s="18"/>
      <c r="R30" s="18"/>
      <c r="S30" s="18"/>
      <c r="T30" s="19"/>
    </row>
    <row r="31" spans="1:20">
      <c r="A31" s="5" t="s">
        <v>37</v>
      </c>
      <c r="B31" s="8">
        <f t="shared" si="2"/>
        <v>27000</v>
      </c>
      <c r="C31" s="8">
        <f>_xlfn.XLOOKUP(A31,Skigruppa!A:A,Skigruppa!F:F,0)</f>
        <v>0</v>
      </c>
      <c r="D31" s="8">
        <f>_xlfn.XLOOKUP(A31,Junior!A:A,Junior!F:F,0)</f>
        <v>0</v>
      </c>
      <c r="E31" s="8">
        <f>_xlfn.XLOOKUP(A31,Damer!A:A,Damer!F:F,0)</f>
        <v>0</v>
      </c>
      <c r="F31" s="8">
        <f>_xlfn.XLOOKUP(A31,'Leirsund 2'!A:A,'Leirsund 2'!F:F,0)</f>
        <v>0</v>
      </c>
      <c r="G31" s="8">
        <f>_xlfn.XLOOKUP(A31,'A-lag'!A:A,'A-lag'!F:F,0)</f>
        <v>0</v>
      </c>
      <c r="H31" s="8">
        <f>_xlfn.XLOOKUP(A31,Svømming!A:A,Svømming!F:F,0)</f>
        <v>0</v>
      </c>
      <c r="I31" s="8">
        <f>_xlfn.XLOOKUP(A31,eSport!A:A,eSport!F:F,0)</f>
        <v>0</v>
      </c>
      <c r="J31" s="8">
        <f>_xlfn.XLOOKUP(A31,Futsal!A:A,Futsal!F:F,0)</f>
        <v>0</v>
      </c>
      <c r="K31" s="8">
        <f>_xlfn.XLOOKUP(A31,Drift!A:A,Drift!F:F,0)</f>
        <v>27000</v>
      </c>
      <c r="L31" s="8">
        <f>_xlfn.XLOOKUP(A31,Adm!A:A,Adm!F:F,0)</f>
        <v>0</v>
      </c>
      <c r="N31" s="17"/>
      <c r="O31" s="18"/>
      <c r="P31" s="18"/>
      <c r="Q31" s="18"/>
      <c r="R31" s="18"/>
      <c r="S31" s="18"/>
      <c r="T31" s="19"/>
    </row>
    <row r="32" spans="1:20">
      <c r="A32" s="5" t="s">
        <v>38</v>
      </c>
      <c r="B32" s="8">
        <f t="shared" si="2"/>
        <v>0</v>
      </c>
      <c r="C32" s="8">
        <f>_xlfn.XLOOKUP(A32,Skigruppa!A:A,Skigruppa!F:F,0)</f>
        <v>0</v>
      </c>
      <c r="D32" s="8">
        <f>_xlfn.XLOOKUP(A32,Junior!A:A,Junior!F:F,0)</f>
        <v>0</v>
      </c>
      <c r="E32" s="8">
        <f>_xlfn.XLOOKUP(A32,Damer!A:A,Damer!F:F,0)</f>
        <v>0</v>
      </c>
      <c r="F32" s="8">
        <f>_xlfn.XLOOKUP(A32,'Leirsund 2'!A:A,'Leirsund 2'!F:F,0)</f>
        <v>0</v>
      </c>
      <c r="G32" s="8">
        <f>_xlfn.XLOOKUP(A32,'A-lag'!A:A,'A-lag'!F:F,0)</f>
        <v>0</v>
      </c>
      <c r="H32" s="8">
        <f>_xlfn.XLOOKUP(A32,Svømming!A:A,Svømming!F:F,0)</f>
        <v>0</v>
      </c>
      <c r="I32" s="8">
        <f>_xlfn.XLOOKUP(A32,eSport!A:A,eSport!F:F,0)</f>
        <v>0</v>
      </c>
      <c r="J32" s="8">
        <f>_xlfn.XLOOKUP(A32,Futsal!A:A,Futsal!F:F,0)</f>
        <v>0</v>
      </c>
      <c r="K32" s="8">
        <f>_xlfn.XLOOKUP(A32,Drift!A:A,Drift!F:F,0)</f>
        <v>0</v>
      </c>
      <c r="L32" s="8">
        <f>_xlfn.XLOOKUP(A32,Adm!A:A,Adm!F:F,0)</f>
        <v>0</v>
      </c>
      <c r="N32" s="17"/>
      <c r="O32" s="18"/>
      <c r="P32" s="18"/>
      <c r="Q32" s="18"/>
      <c r="R32" s="18"/>
      <c r="S32" s="18"/>
      <c r="T32" s="19"/>
    </row>
    <row r="33" spans="1:20">
      <c r="A33" s="5" t="s">
        <v>39</v>
      </c>
      <c r="B33" s="8">
        <f t="shared" si="2"/>
        <v>41000</v>
      </c>
      <c r="C33" s="8">
        <f>_xlfn.XLOOKUP(A33,Skigruppa!A:A,Skigruppa!F:F,0)</f>
        <v>11000</v>
      </c>
      <c r="D33" s="8">
        <f>_xlfn.XLOOKUP(A33,Junior!A:A,Junior!F:F,0)</f>
        <v>0</v>
      </c>
      <c r="E33" s="8">
        <f>_xlfn.XLOOKUP(A33,Damer!A:A,Damer!F:F,0)</f>
        <v>0</v>
      </c>
      <c r="F33" s="8">
        <f>_xlfn.XLOOKUP(A33,'Leirsund 2'!A:A,'Leirsund 2'!F:F,0)</f>
        <v>0</v>
      </c>
      <c r="G33" s="8">
        <f>_xlfn.XLOOKUP(A33,'A-lag'!A:A,'A-lag'!F:F,0)</f>
        <v>0</v>
      </c>
      <c r="H33" s="8">
        <f>_xlfn.XLOOKUP(A33,Svømming!A:A,Svømming!F:F,0)</f>
        <v>0</v>
      </c>
      <c r="I33" s="8">
        <f>_xlfn.XLOOKUP(A33,eSport!A:A,eSport!F:F,0)</f>
        <v>0</v>
      </c>
      <c r="J33" s="8">
        <f>_xlfn.XLOOKUP(A33,Futsal!A:A,Futsal!F:F,0)</f>
        <v>0</v>
      </c>
      <c r="K33" s="8">
        <f>_xlfn.XLOOKUP(A33,Drift!A:A,Drift!F:F,0)</f>
        <v>30000</v>
      </c>
      <c r="L33" s="8">
        <f>_xlfn.XLOOKUP(A33,Adm!A:A,Adm!F:F,0)</f>
        <v>0</v>
      </c>
      <c r="N33" s="17"/>
      <c r="O33" s="18"/>
      <c r="P33" s="18"/>
      <c r="Q33" s="18"/>
      <c r="R33" s="18"/>
      <c r="S33" s="18"/>
      <c r="T33" s="19"/>
    </row>
    <row r="34" spans="1:20">
      <c r="A34" s="5" t="s">
        <v>40</v>
      </c>
      <c r="B34" s="8">
        <f t="shared" si="2"/>
        <v>88000</v>
      </c>
      <c r="C34" s="8">
        <f>_xlfn.XLOOKUP(A34,Skigruppa!A:A,Skigruppa!F:F,0)</f>
        <v>45000</v>
      </c>
      <c r="D34" s="8">
        <f>_xlfn.XLOOKUP(A34,Junior!A:A,Junior!F:F,0)</f>
        <v>0</v>
      </c>
      <c r="E34" s="8">
        <f>_xlfn.XLOOKUP(A34,Damer!A:A,Damer!F:F,0)</f>
        <v>0</v>
      </c>
      <c r="F34" s="8">
        <f>_xlfn.XLOOKUP(A34,'Leirsund 2'!A:A,'Leirsund 2'!F:F,0)</f>
        <v>0</v>
      </c>
      <c r="G34" s="8">
        <f>_xlfn.XLOOKUP(A34,'A-lag'!A:A,'A-lag'!F:F,0)</f>
        <v>0</v>
      </c>
      <c r="H34" s="8">
        <f>_xlfn.XLOOKUP(A34,Svømming!A:A,Svømming!F:F,0)</f>
        <v>0</v>
      </c>
      <c r="I34" s="8">
        <f>_xlfn.XLOOKUP(A34,eSport!A:A,eSport!F:F,0)</f>
        <v>0</v>
      </c>
      <c r="J34" s="8">
        <f>_xlfn.XLOOKUP(A34,Futsal!A:A,Futsal!F:F,0)</f>
        <v>0</v>
      </c>
      <c r="K34" s="8">
        <f>_xlfn.XLOOKUP(A34,Drift!A:A,Drift!F:F,0)</f>
        <v>43000</v>
      </c>
      <c r="L34" s="8">
        <f>_xlfn.XLOOKUP(A34,Adm!A:A,Adm!F:F,0)</f>
        <v>0</v>
      </c>
      <c r="N34" s="17"/>
      <c r="O34" s="18"/>
      <c r="P34" s="18"/>
      <c r="Q34" s="18"/>
      <c r="R34" s="18"/>
      <c r="S34" s="18"/>
      <c r="T34" s="19"/>
    </row>
    <row r="35" spans="1:20">
      <c r="A35" s="5" t="s">
        <v>41</v>
      </c>
      <c r="B35" s="8">
        <f t="shared" si="2"/>
        <v>7500</v>
      </c>
      <c r="C35" s="8">
        <f>_xlfn.XLOOKUP(A35,Skigruppa!A:A,Skigruppa!F:F,0)</f>
        <v>0</v>
      </c>
      <c r="D35" s="8">
        <f>_xlfn.XLOOKUP(A35,Junior!A:A,Junior!F:F,0)</f>
        <v>0</v>
      </c>
      <c r="E35" s="8">
        <f>_xlfn.XLOOKUP(A35,Damer!A:A,Damer!F:F,0)</f>
        <v>0</v>
      </c>
      <c r="F35" s="8">
        <f>_xlfn.XLOOKUP(A35,'Leirsund 2'!A:A,'Leirsund 2'!F:F,0)</f>
        <v>0</v>
      </c>
      <c r="G35" s="8">
        <f>_xlfn.XLOOKUP(A35,'A-lag'!A:A,'A-lag'!F:F,0)</f>
        <v>0</v>
      </c>
      <c r="H35" s="8">
        <f>_xlfn.XLOOKUP(A35,Svømming!A:A,Svømming!F:F,0)</f>
        <v>0</v>
      </c>
      <c r="I35" s="8">
        <f>_xlfn.XLOOKUP(A35,eSport!A:A,eSport!F:F,0)</f>
        <v>0</v>
      </c>
      <c r="J35" s="8">
        <f>_xlfn.XLOOKUP(A35,Futsal!A:A,Futsal!F:F,0)</f>
        <v>0</v>
      </c>
      <c r="K35" s="8">
        <f>_xlfn.XLOOKUP(A35,Drift!A:A,Drift!F:F,0)</f>
        <v>7500</v>
      </c>
      <c r="L35" s="8">
        <f>_xlfn.XLOOKUP(A35,Adm!A:A,Adm!F:F,0)</f>
        <v>0</v>
      </c>
      <c r="N35" s="17"/>
      <c r="O35" s="18"/>
      <c r="P35" s="18"/>
      <c r="Q35" s="18"/>
      <c r="R35" s="18"/>
      <c r="S35" s="18"/>
      <c r="T35" s="19"/>
    </row>
    <row r="36" spans="1:20">
      <c r="A36" s="5" t="s">
        <v>42</v>
      </c>
      <c r="B36" s="8">
        <f t="shared" si="2"/>
        <v>10000</v>
      </c>
      <c r="C36" s="8">
        <f>_xlfn.XLOOKUP(A36,Skigruppa!A:A,Skigruppa!F:F,0)</f>
        <v>10000</v>
      </c>
      <c r="D36" s="8">
        <f>_xlfn.XLOOKUP(A36,Junior!A:A,Junior!F:F,0)</f>
        <v>0</v>
      </c>
      <c r="E36" s="8">
        <f>_xlfn.XLOOKUP(A36,Damer!A:A,Damer!F:F,0)</f>
        <v>0</v>
      </c>
      <c r="F36" s="8">
        <f>_xlfn.XLOOKUP(A36,'Leirsund 2'!A:A,'Leirsund 2'!F:F,0)</f>
        <v>0</v>
      </c>
      <c r="G36" s="8">
        <f>_xlfn.XLOOKUP(A36,'A-lag'!A:A,'A-lag'!F:F,0)</f>
        <v>0</v>
      </c>
      <c r="H36" s="8">
        <f>_xlfn.XLOOKUP(A36,Svømming!A:A,Svømming!F:F,0)</f>
        <v>0</v>
      </c>
      <c r="I36" s="8">
        <f>_xlfn.XLOOKUP(A36,eSport!A:A,eSport!F:F,0)</f>
        <v>0</v>
      </c>
      <c r="J36" s="8">
        <f>_xlfn.XLOOKUP(A36,Futsal!A:A,Futsal!F:F,0)</f>
        <v>0</v>
      </c>
      <c r="K36" s="8">
        <f>_xlfn.XLOOKUP(A36,Drift!A:A,Drift!F:F,0)</f>
        <v>0</v>
      </c>
      <c r="L36" s="8">
        <f>_xlfn.XLOOKUP(A36,Adm!A:A,Adm!F:F,0)</f>
        <v>0</v>
      </c>
      <c r="N36" s="17"/>
      <c r="O36" s="18"/>
      <c r="P36" s="18"/>
      <c r="Q36" s="18"/>
      <c r="R36" s="18"/>
      <c r="S36" s="18"/>
      <c r="T36" s="19"/>
    </row>
    <row r="37" spans="1:20">
      <c r="A37" s="5" t="s">
        <v>43</v>
      </c>
      <c r="B37" s="8">
        <f t="shared" si="2"/>
        <v>0</v>
      </c>
      <c r="C37" s="8">
        <f>_xlfn.XLOOKUP(A37,Skigruppa!A:A,Skigruppa!F:F,0)</f>
        <v>0</v>
      </c>
      <c r="D37" s="8">
        <f>_xlfn.XLOOKUP(A37,Junior!A:A,Junior!F:F,0)</f>
        <v>0</v>
      </c>
      <c r="E37" s="8">
        <f>_xlfn.XLOOKUP(A37,Damer!A:A,Damer!F:F,0)</f>
        <v>0</v>
      </c>
      <c r="F37" s="8">
        <f>_xlfn.XLOOKUP(A37,'Leirsund 2'!A:A,'Leirsund 2'!F:F,0)</f>
        <v>0</v>
      </c>
      <c r="G37" s="8">
        <f>_xlfn.XLOOKUP(A37,'A-lag'!A:A,'A-lag'!F:F,0)</f>
        <v>0</v>
      </c>
      <c r="H37" s="8">
        <f>_xlfn.XLOOKUP(A37,Svømming!A:A,Svømming!F:F,0)</f>
        <v>0</v>
      </c>
      <c r="I37" s="8">
        <f>_xlfn.XLOOKUP(A37,eSport!A:A,eSport!F:F,0)</f>
        <v>0</v>
      </c>
      <c r="J37" s="8">
        <f>_xlfn.XLOOKUP(A37,Futsal!A:A,Futsal!F:F,0)</f>
        <v>0</v>
      </c>
      <c r="K37" s="8">
        <f>_xlfn.XLOOKUP(A37,Drift!A:A,Drift!F:F,0)</f>
        <v>0</v>
      </c>
      <c r="L37" s="8">
        <f>_xlfn.XLOOKUP(A37,Adm!A:A,Adm!F:F,0)</f>
        <v>0</v>
      </c>
      <c r="N37" s="17"/>
      <c r="O37" s="18"/>
      <c r="P37" s="18"/>
      <c r="Q37" s="18"/>
      <c r="R37" s="18"/>
      <c r="S37" s="18"/>
      <c r="T37" s="19"/>
    </row>
    <row r="38" spans="1:20">
      <c r="A38" s="5" t="s">
        <v>44</v>
      </c>
      <c r="B38" s="8">
        <f t="shared" si="2"/>
        <v>8000</v>
      </c>
      <c r="C38" s="8">
        <f>_xlfn.XLOOKUP(A38,Skigruppa!A:A,Skigruppa!F:F,0)</f>
        <v>0</v>
      </c>
      <c r="D38" s="8">
        <f>_xlfn.XLOOKUP(A38,Junior!A:A,Junior!F:F,0)</f>
        <v>0</v>
      </c>
      <c r="E38" s="8">
        <f>_xlfn.XLOOKUP(A38,Damer!A:A,Damer!F:F,0)</f>
        <v>0</v>
      </c>
      <c r="F38" s="8">
        <f>_xlfn.XLOOKUP(A38,'Leirsund 2'!A:A,'Leirsund 2'!F:F,0)</f>
        <v>0</v>
      </c>
      <c r="G38" s="8">
        <f>_xlfn.XLOOKUP(A38,'A-lag'!A:A,'A-lag'!F:F,0)</f>
        <v>0</v>
      </c>
      <c r="H38" s="8">
        <f>_xlfn.XLOOKUP(A38,Svømming!A:A,Svømming!F:F,0)</f>
        <v>0</v>
      </c>
      <c r="I38" s="8">
        <f>_xlfn.XLOOKUP(A38,eSport!A:A,eSport!F:F,0)</f>
        <v>0</v>
      </c>
      <c r="J38" s="8">
        <f>_xlfn.XLOOKUP(A38,Futsal!A:A,Futsal!F:F,0)</f>
        <v>0</v>
      </c>
      <c r="K38" s="8">
        <f>_xlfn.XLOOKUP(A38,Drift!A:A,Drift!F:F,0)</f>
        <v>0</v>
      </c>
      <c r="L38" s="8">
        <f>_xlfn.XLOOKUP(A38,Adm!A:A,Adm!F:F,0)</f>
        <v>8000</v>
      </c>
      <c r="N38" s="17"/>
      <c r="O38" s="18"/>
      <c r="P38" s="18"/>
      <c r="Q38" s="18"/>
      <c r="R38" s="18"/>
      <c r="S38" s="18"/>
      <c r="T38" s="19"/>
    </row>
    <row r="39" spans="1:20">
      <c r="A39" s="5" t="s">
        <v>45</v>
      </c>
      <c r="B39" s="8">
        <f t="shared" si="2"/>
        <v>97500</v>
      </c>
      <c r="C39" s="8">
        <f>_xlfn.XLOOKUP(A39,Skigruppa!A:A,Skigruppa!F:F,0)</f>
        <v>75000</v>
      </c>
      <c r="D39" s="8">
        <f>_xlfn.XLOOKUP(A39,Junior!A:A,Junior!F:F,0)</f>
        <v>2500</v>
      </c>
      <c r="E39" s="8">
        <f>_xlfn.XLOOKUP(A39,Damer!A:A,Damer!F:F,0)</f>
        <v>0</v>
      </c>
      <c r="F39" s="8">
        <f>_xlfn.XLOOKUP(A39,'Leirsund 2'!A:A,'Leirsund 2'!F:F,0)</f>
        <v>10000</v>
      </c>
      <c r="G39" s="8">
        <f>_xlfn.XLOOKUP(A39,'A-lag'!A:A,'A-lag'!F:F,0)</f>
        <v>10000</v>
      </c>
      <c r="H39" s="8">
        <f>_xlfn.XLOOKUP(A39,Svømming!A:A,Svømming!F:F,0)</f>
        <v>0</v>
      </c>
      <c r="I39" s="8">
        <f>_xlfn.XLOOKUP(A39,eSport!A:A,eSport!F:F,0)</f>
        <v>0</v>
      </c>
      <c r="J39" s="8">
        <f>_xlfn.XLOOKUP(A39,Futsal!A:A,Futsal!F:F,0)</f>
        <v>0</v>
      </c>
      <c r="K39" s="8">
        <f>_xlfn.XLOOKUP(A39,Drift!A:A,Drift!F:F,0)</f>
        <v>0</v>
      </c>
      <c r="L39" s="8">
        <f>_xlfn.XLOOKUP(A39,Adm!A:A,Adm!F:F,0)</f>
        <v>0</v>
      </c>
      <c r="N39" s="17"/>
      <c r="O39" s="18"/>
      <c r="P39" s="18"/>
      <c r="Q39" s="18"/>
      <c r="R39" s="18"/>
      <c r="S39" s="18"/>
      <c r="T39" s="19"/>
    </row>
    <row r="40" spans="1:20">
      <c r="A40" s="5" t="s">
        <v>46</v>
      </c>
      <c r="B40" s="8">
        <f t="shared" si="2"/>
        <v>129500</v>
      </c>
      <c r="C40" s="8">
        <f>_xlfn.XLOOKUP(A40,Skigruppa!A:A,Skigruppa!F:F,0)</f>
        <v>10000</v>
      </c>
      <c r="D40" s="8">
        <f>_xlfn.XLOOKUP(A40,Junior!A:A,Junior!F:F,0)</f>
        <v>0</v>
      </c>
      <c r="E40" s="8">
        <f>_xlfn.XLOOKUP(A40,Damer!A:A,Damer!F:F,0)</f>
        <v>0</v>
      </c>
      <c r="F40" s="8">
        <f>_xlfn.XLOOKUP(A40,'Leirsund 2'!A:A,'Leirsund 2'!F:F,0)</f>
        <v>0</v>
      </c>
      <c r="G40" s="8">
        <f>_xlfn.XLOOKUP(A40,'A-lag'!A:A,'A-lag'!F:F,0)</f>
        <v>0</v>
      </c>
      <c r="H40" s="8">
        <f>_xlfn.XLOOKUP(A40,Svømming!A:A,Svømming!F:F,0)</f>
        <v>0</v>
      </c>
      <c r="I40" s="8">
        <f>_xlfn.XLOOKUP(A40,eSport!A:A,eSport!F:F,0)</f>
        <v>1500</v>
      </c>
      <c r="J40" s="8">
        <f>_xlfn.XLOOKUP(A40,Futsal!A:A,Futsal!F:F,0)</f>
        <v>0</v>
      </c>
      <c r="K40" s="8">
        <f>_xlfn.XLOOKUP(A40,Drift!A:A,Drift!F:F,0)</f>
        <v>110000</v>
      </c>
      <c r="L40" s="8">
        <f>_xlfn.XLOOKUP(A40,Adm!A:A,Adm!F:F,0)</f>
        <v>8000</v>
      </c>
      <c r="N40" s="17"/>
      <c r="O40" s="18"/>
      <c r="P40" s="18"/>
      <c r="Q40" s="18"/>
      <c r="R40" s="18"/>
      <c r="S40" s="18"/>
      <c r="T40" s="19"/>
    </row>
    <row r="41" spans="1:20">
      <c r="A41" s="5" t="s">
        <v>47</v>
      </c>
      <c r="B41" s="8">
        <f t="shared" si="2"/>
        <v>9200</v>
      </c>
      <c r="C41" s="8">
        <f>_xlfn.XLOOKUP(A41,Skigruppa!A:A,Skigruppa!F:F,0)</f>
        <v>0</v>
      </c>
      <c r="D41" s="8">
        <f>_xlfn.XLOOKUP(A41,Junior!A:A,Junior!F:F,0)</f>
        <v>0</v>
      </c>
      <c r="E41" s="8">
        <f>_xlfn.XLOOKUP(A41,Damer!A:A,Damer!F:F,0)</f>
        <v>0</v>
      </c>
      <c r="F41" s="8">
        <f>_xlfn.XLOOKUP(A41,'Leirsund 2'!A:A,'Leirsund 2'!F:F,0)</f>
        <v>0</v>
      </c>
      <c r="G41" s="8">
        <f>_xlfn.XLOOKUP(A41,'A-lag'!A:A,'A-lag'!F:F,0)</f>
        <v>0</v>
      </c>
      <c r="H41" s="8">
        <f>_xlfn.XLOOKUP(A41,Svømming!A:A,Svømming!F:F,0)</f>
        <v>0</v>
      </c>
      <c r="I41" s="8">
        <f>_xlfn.XLOOKUP(A41,eSport!A:A,eSport!F:F,0)</f>
        <v>9200</v>
      </c>
      <c r="J41" s="8">
        <f>_xlfn.XLOOKUP(A41,Futsal!A:A,Futsal!F:F,0)</f>
        <v>0</v>
      </c>
      <c r="K41" s="8">
        <f>_xlfn.XLOOKUP(A41,Drift!A:A,Drift!F:F,0)</f>
        <v>0</v>
      </c>
      <c r="L41" s="8">
        <f>_xlfn.XLOOKUP(A41,Adm!A:A,Adm!F:F,0)</f>
        <v>0</v>
      </c>
      <c r="N41" s="17"/>
      <c r="O41" s="18"/>
      <c r="P41" s="18"/>
      <c r="Q41" s="18"/>
      <c r="R41" s="18"/>
      <c r="S41" s="18"/>
      <c r="T41" s="19"/>
    </row>
    <row r="42" spans="1:20">
      <c r="A42" s="5" t="s">
        <v>48</v>
      </c>
      <c r="B42" s="8">
        <f t="shared" si="2"/>
        <v>95000</v>
      </c>
      <c r="C42" s="8">
        <f>_xlfn.XLOOKUP(A42,Skigruppa!A:A,Skigruppa!F:F,0)</f>
        <v>10000</v>
      </c>
      <c r="D42" s="8">
        <f>_xlfn.XLOOKUP(A42,Junior!A:A,Junior!F:F,0)</f>
        <v>15000</v>
      </c>
      <c r="E42" s="8">
        <f>_xlfn.XLOOKUP(A42,Damer!A:A,Damer!F:F,0)</f>
        <v>20000</v>
      </c>
      <c r="F42" s="8">
        <f>_xlfn.XLOOKUP(A42,'Leirsund 2'!A:A,'Leirsund 2'!F:F,0)</f>
        <v>10000</v>
      </c>
      <c r="G42" s="8">
        <f>_xlfn.XLOOKUP(A42,'A-lag'!A:A,'A-lag'!F:F,0)</f>
        <v>35000</v>
      </c>
      <c r="H42" s="8">
        <f>_xlfn.XLOOKUP(A42,Svømming!A:A,Svømming!F:F,0)</f>
        <v>5000</v>
      </c>
      <c r="I42" s="8">
        <f>_xlfn.XLOOKUP(A42,eSport!A:A,eSport!F:F,0)</f>
        <v>0</v>
      </c>
      <c r="J42" s="8">
        <f>_xlfn.XLOOKUP(A42,Futsal!A:A,Futsal!F:F,0)</f>
        <v>0</v>
      </c>
      <c r="K42" s="8">
        <f>_xlfn.XLOOKUP(A42,Drift!A:A,Drift!F:F,0)</f>
        <v>0</v>
      </c>
      <c r="L42" s="8">
        <f>_xlfn.XLOOKUP(A42,Adm!A:A,Adm!F:F,0)</f>
        <v>0</v>
      </c>
      <c r="N42" s="17"/>
      <c r="O42" s="18"/>
      <c r="P42" s="18"/>
      <c r="Q42" s="18"/>
      <c r="R42" s="18"/>
      <c r="S42" s="18"/>
      <c r="T42" s="19"/>
    </row>
    <row r="43" spans="1:20">
      <c r="A43" s="5" t="s">
        <v>49</v>
      </c>
      <c r="B43" s="8">
        <f t="shared" si="2"/>
        <v>230000</v>
      </c>
      <c r="C43" s="8">
        <f>_xlfn.XLOOKUP(A43,Skigruppa!A:A,Skigruppa!F:F,0)</f>
        <v>50000</v>
      </c>
      <c r="D43" s="8">
        <f>_xlfn.XLOOKUP(A43,Junior!A:A,Junior!F:F,0)</f>
        <v>0</v>
      </c>
      <c r="E43" s="8">
        <f>_xlfn.XLOOKUP(A43,Damer!A:A,Damer!F:F,0)</f>
        <v>0</v>
      </c>
      <c r="F43" s="8">
        <f>_xlfn.XLOOKUP(A43,'Leirsund 2'!A:A,'Leirsund 2'!F:F,0)</f>
        <v>0</v>
      </c>
      <c r="G43" s="8">
        <f>_xlfn.XLOOKUP(A43,'A-lag'!A:A,'A-lag'!F:F,0)</f>
        <v>0</v>
      </c>
      <c r="H43" s="8">
        <f>_xlfn.XLOOKUP(A43,Svømming!A:A,Svømming!F:F,0)</f>
        <v>0</v>
      </c>
      <c r="I43" s="8">
        <f>_xlfn.XLOOKUP(A43,eSport!A:A,eSport!F:F,0)</f>
        <v>0</v>
      </c>
      <c r="J43" s="8">
        <f>_xlfn.XLOOKUP(A43,Futsal!A:A,Futsal!F:F,0)</f>
        <v>0</v>
      </c>
      <c r="K43" s="8">
        <f>_xlfn.XLOOKUP(A43,Drift!A:A,Drift!F:F,0)</f>
        <v>180000</v>
      </c>
      <c r="L43" s="8">
        <f>_xlfn.XLOOKUP(A43,Adm!A:A,Adm!F:F,0)</f>
        <v>0</v>
      </c>
      <c r="N43" s="17"/>
      <c r="O43" s="18"/>
      <c r="P43" s="18"/>
      <c r="Q43" s="18"/>
      <c r="R43" s="18"/>
      <c r="S43" s="18"/>
      <c r="T43" s="19"/>
    </row>
    <row r="44" spans="1:20">
      <c r="A44" s="5" t="s">
        <v>50</v>
      </c>
      <c r="B44" s="8">
        <f t="shared" si="2"/>
        <v>40000</v>
      </c>
      <c r="C44" s="8">
        <f>_xlfn.XLOOKUP(A44,Skigruppa!A:A,Skigruppa!F:F,0)</f>
        <v>20000</v>
      </c>
      <c r="D44" s="8">
        <f>_xlfn.XLOOKUP(A44,Junior!A:A,Junior!F:F,0)</f>
        <v>0</v>
      </c>
      <c r="E44" s="8">
        <f>_xlfn.XLOOKUP(A44,Damer!A:A,Damer!F:F,0)</f>
        <v>0</v>
      </c>
      <c r="F44" s="8">
        <f>_xlfn.XLOOKUP(A44,'Leirsund 2'!A:A,'Leirsund 2'!F:F,0)</f>
        <v>0</v>
      </c>
      <c r="G44" s="8">
        <f>_xlfn.XLOOKUP(A44,'A-lag'!A:A,'A-lag'!F:F,0)</f>
        <v>0</v>
      </c>
      <c r="H44" s="8">
        <f>_xlfn.XLOOKUP(A44,Svømming!A:A,Svømming!F:F,0)</f>
        <v>0</v>
      </c>
      <c r="I44" s="8">
        <f>_xlfn.XLOOKUP(A44,eSport!A:A,eSport!F:F,0)</f>
        <v>0</v>
      </c>
      <c r="J44" s="8">
        <f>_xlfn.XLOOKUP(A44,Futsal!A:A,Futsal!F:F,0)</f>
        <v>0</v>
      </c>
      <c r="K44" s="8">
        <f>_xlfn.XLOOKUP(A44,Drift!A:A,Drift!F:F,0)</f>
        <v>20000</v>
      </c>
      <c r="L44" s="8">
        <f>_xlfn.XLOOKUP(A44,Adm!A:A,Adm!F:F,0)</f>
        <v>0</v>
      </c>
      <c r="N44" s="17"/>
      <c r="O44" s="18"/>
      <c r="P44" s="18"/>
      <c r="Q44" s="18"/>
      <c r="R44" s="18"/>
      <c r="S44" s="18"/>
      <c r="T44" s="19"/>
    </row>
    <row r="45" spans="1:20">
      <c r="A45" s="5" t="s">
        <v>51</v>
      </c>
      <c r="B45" s="8">
        <f t="shared" si="2"/>
        <v>2500</v>
      </c>
      <c r="C45" s="8">
        <f>_xlfn.XLOOKUP(A45,Skigruppa!A:A,Skigruppa!F:F,0)</f>
        <v>1500</v>
      </c>
      <c r="D45" s="8">
        <f>_xlfn.XLOOKUP(A45,Junior!A:A,Junior!F:F,0)</f>
        <v>0</v>
      </c>
      <c r="E45" s="8">
        <f>_xlfn.XLOOKUP(A45,Damer!A:A,Damer!F:F,0)</f>
        <v>0</v>
      </c>
      <c r="F45" s="8">
        <f>_xlfn.XLOOKUP(A45,'Leirsund 2'!A:A,'Leirsund 2'!F:F,0)</f>
        <v>0</v>
      </c>
      <c r="G45" s="8">
        <f>_xlfn.XLOOKUP(A45,'A-lag'!A:A,'A-lag'!F:F,0)</f>
        <v>0</v>
      </c>
      <c r="H45" s="8">
        <f>_xlfn.XLOOKUP(A45,Svømming!A:A,Svømming!F:F,0)</f>
        <v>0</v>
      </c>
      <c r="I45" s="8">
        <f>_xlfn.XLOOKUP(A45,eSport!A:A,eSport!F:F,0)</f>
        <v>0</v>
      </c>
      <c r="J45" s="8">
        <f>_xlfn.XLOOKUP(A45,Futsal!A:A,Futsal!F:F,0)</f>
        <v>0</v>
      </c>
      <c r="K45" s="8">
        <f>_xlfn.XLOOKUP(A45,Drift!A:A,Drift!F:F,0)</f>
        <v>1000</v>
      </c>
      <c r="L45" s="8">
        <f>_xlfn.XLOOKUP(A45,Adm!A:A,Adm!F:F,0)</f>
        <v>0</v>
      </c>
      <c r="N45" s="17"/>
      <c r="O45" s="18"/>
      <c r="P45" s="18"/>
      <c r="Q45" s="18"/>
      <c r="R45" s="18"/>
      <c r="S45" s="18"/>
      <c r="T45" s="19"/>
    </row>
    <row r="46" spans="1:20">
      <c r="A46" s="5" t="s">
        <v>52</v>
      </c>
      <c r="B46" s="8">
        <f t="shared" si="2"/>
        <v>10000</v>
      </c>
      <c r="C46" s="8">
        <f>_xlfn.XLOOKUP(A46,Skigruppa!A:A,Skigruppa!F:F,0)</f>
        <v>0</v>
      </c>
      <c r="D46" s="8">
        <f>_xlfn.XLOOKUP(A46,Junior!A:A,Junior!F:F,0)</f>
        <v>0</v>
      </c>
      <c r="E46" s="8">
        <f>_xlfn.XLOOKUP(A46,Damer!A:A,Damer!F:F,0)</f>
        <v>0</v>
      </c>
      <c r="F46" s="8">
        <f>_xlfn.XLOOKUP(A46,'Leirsund 2'!A:A,'Leirsund 2'!F:F,0)</f>
        <v>0</v>
      </c>
      <c r="G46" s="8">
        <f>_xlfn.XLOOKUP(A46,'A-lag'!A:A,'A-lag'!F:F,0)</f>
        <v>0</v>
      </c>
      <c r="H46" s="8">
        <f>_xlfn.XLOOKUP(A46,Svømming!A:A,Svømming!F:F,0)</f>
        <v>0</v>
      </c>
      <c r="I46" s="8">
        <f>_xlfn.XLOOKUP(A46,eSport!A:A,eSport!F:F,0)</f>
        <v>0</v>
      </c>
      <c r="J46" s="8">
        <f>_xlfn.XLOOKUP(A46,Futsal!A:A,Futsal!F:F,0)</f>
        <v>0</v>
      </c>
      <c r="K46" s="8">
        <f>_xlfn.XLOOKUP(A46,Drift!A:A,Drift!F:F,0)</f>
        <v>0</v>
      </c>
      <c r="L46" s="8">
        <f>_xlfn.XLOOKUP(A46,Adm!A:A,Adm!F:F,0)</f>
        <v>10000</v>
      </c>
      <c r="N46" s="17"/>
      <c r="O46" s="18"/>
      <c r="P46" s="18"/>
      <c r="Q46" s="18"/>
      <c r="R46" s="18"/>
      <c r="S46" s="18"/>
      <c r="T46" s="19"/>
    </row>
    <row r="47" spans="1:20">
      <c r="A47" s="5" t="s">
        <v>53</v>
      </c>
      <c r="B47" s="8">
        <f t="shared" si="2"/>
        <v>0</v>
      </c>
      <c r="C47" s="8">
        <f>_xlfn.XLOOKUP(A47,Skigruppa!A:A,Skigruppa!F:F,0)</f>
        <v>0</v>
      </c>
      <c r="D47" s="8">
        <f>_xlfn.XLOOKUP(A47,Junior!A:A,Junior!F:F,0)</f>
        <v>0</v>
      </c>
      <c r="E47" s="8">
        <f>_xlfn.XLOOKUP(A47,Damer!A:A,Damer!F:F,0)</f>
        <v>0</v>
      </c>
      <c r="F47" s="8">
        <f>_xlfn.XLOOKUP(A47,'Leirsund 2'!A:A,'Leirsund 2'!F:F,0)</f>
        <v>0</v>
      </c>
      <c r="G47" s="8">
        <f>_xlfn.XLOOKUP(A47,'A-lag'!A:A,'A-lag'!F:F,0)</f>
        <v>0</v>
      </c>
      <c r="H47" s="8">
        <f>_xlfn.XLOOKUP(A47,Svømming!A:A,Svømming!F:F,0)</f>
        <v>0</v>
      </c>
      <c r="I47" s="8">
        <f>_xlfn.XLOOKUP(A47,eSport!A:A,eSport!F:F,0)</f>
        <v>0</v>
      </c>
      <c r="J47" s="8">
        <f>_xlfn.XLOOKUP(A47,Futsal!A:A,Futsal!F:F,0)</f>
        <v>0</v>
      </c>
      <c r="K47" s="8">
        <f>_xlfn.XLOOKUP(A47,Drift!A:A,Drift!F:F,0)</f>
        <v>0</v>
      </c>
      <c r="L47" s="8">
        <f>_xlfn.XLOOKUP(A47,Adm!A:A,Adm!F:F,0)</f>
        <v>0</v>
      </c>
      <c r="N47" s="17"/>
      <c r="O47" s="18"/>
      <c r="P47" s="18"/>
      <c r="Q47" s="18"/>
      <c r="R47" s="18"/>
      <c r="S47" s="18"/>
      <c r="T47" s="19"/>
    </row>
    <row r="48" spans="1:20">
      <c r="A48" s="5" t="s">
        <v>54</v>
      </c>
      <c r="B48" s="8">
        <f t="shared" si="2"/>
        <v>42000</v>
      </c>
      <c r="C48" s="8">
        <f>_xlfn.XLOOKUP(A48,Skigruppa!A:A,Skigruppa!F:F,0)</f>
        <v>2000</v>
      </c>
      <c r="D48" s="8">
        <f>_xlfn.XLOOKUP(A48,Junior!A:A,Junior!F:F,0)</f>
        <v>0</v>
      </c>
      <c r="E48" s="8">
        <f>_xlfn.XLOOKUP(A48,Damer!A:A,Damer!F:F,0)</f>
        <v>0</v>
      </c>
      <c r="F48" s="8">
        <f>_xlfn.XLOOKUP(A48,'Leirsund 2'!A:A,'Leirsund 2'!F:F,0)</f>
        <v>0</v>
      </c>
      <c r="G48" s="8">
        <f>_xlfn.XLOOKUP(A48,'A-lag'!A:A,'A-lag'!F:F,0)</f>
        <v>0</v>
      </c>
      <c r="H48" s="8">
        <f>_xlfn.XLOOKUP(A48,Svømming!A:A,Svømming!F:F,0)</f>
        <v>0</v>
      </c>
      <c r="I48" s="8">
        <f>_xlfn.XLOOKUP(A48,eSport!A:A,eSport!F:F,0)</f>
        <v>0</v>
      </c>
      <c r="J48" s="8">
        <f>_xlfn.XLOOKUP(A48,Futsal!A:A,Futsal!F:F,0)</f>
        <v>0</v>
      </c>
      <c r="K48" s="8">
        <f>_xlfn.XLOOKUP(A48,Drift!A:A,Drift!F:F,0)</f>
        <v>40000</v>
      </c>
      <c r="L48" s="8">
        <f>_xlfn.XLOOKUP(A48,Adm!A:A,Adm!F:F,0)</f>
        <v>0</v>
      </c>
      <c r="N48" s="17"/>
      <c r="O48" s="18"/>
      <c r="P48" s="18"/>
      <c r="Q48" s="18"/>
      <c r="R48" s="18"/>
      <c r="S48" s="18"/>
      <c r="T48" s="19"/>
    </row>
    <row r="49" spans="1:20">
      <c r="A49" s="5" t="s">
        <v>55</v>
      </c>
      <c r="B49" s="8">
        <f t="shared" si="2"/>
        <v>28000</v>
      </c>
      <c r="C49" s="8">
        <f>_xlfn.XLOOKUP(A49,Skigruppa!A:A,Skigruppa!F:F,0)</f>
        <v>20000</v>
      </c>
      <c r="D49" s="8">
        <f>_xlfn.XLOOKUP(A49,Junior!A:A,Junior!F:F,0)</f>
        <v>0</v>
      </c>
      <c r="E49" s="8">
        <f>_xlfn.XLOOKUP(A49,Damer!A:A,Damer!F:F,0)</f>
        <v>0</v>
      </c>
      <c r="F49" s="8">
        <f>_xlfn.XLOOKUP(A49,'Leirsund 2'!A:A,'Leirsund 2'!F:F,0)</f>
        <v>0</v>
      </c>
      <c r="G49" s="8">
        <f>_xlfn.XLOOKUP(A49,'A-lag'!A:A,'A-lag'!F:F,0)</f>
        <v>0</v>
      </c>
      <c r="H49" s="8">
        <f>_xlfn.XLOOKUP(A49,Svømming!A:A,Svømming!F:F,0)</f>
        <v>0</v>
      </c>
      <c r="I49" s="8">
        <f>_xlfn.XLOOKUP(A49,eSport!A:A,eSport!F:F,0)</f>
        <v>0</v>
      </c>
      <c r="J49" s="8">
        <f>_xlfn.XLOOKUP(A49,Futsal!A:A,Futsal!F:F,0)</f>
        <v>0</v>
      </c>
      <c r="K49" s="8">
        <f>_xlfn.XLOOKUP(A49,Drift!A:A,Drift!F:F,0)</f>
        <v>8000</v>
      </c>
      <c r="L49" s="8">
        <f>_xlfn.XLOOKUP(A49,Adm!A:A,Adm!F:F,0)</f>
        <v>0</v>
      </c>
      <c r="N49" s="17"/>
      <c r="O49" s="18"/>
      <c r="P49" s="18"/>
      <c r="Q49" s="18"/>
      <c r="R49" s="18"/>
      <c r="S49" s="18"/>
      <c r="T49" s="19"/>
    </row>
    <row r="50" spans="1:20">
      <c r="A50" s="5" t="s">
        <v>56</v>
      </c>
      <c r="B50" s="8">
        <f t="shared" si="2"/>
        <v>20000</v>
      </c>
      <c r="C50" s="8">
        <f>_xlfn.XLOOKUP(A50,Skigruppa!A:A,Skigruppa!F:F,0)</f>
        <v>0</v>
      </c>
      <c r="D50" s="8">
        <f>_xlfn.XLOOKUP(A50,Junior!A:A,Junior!F:F,0)</f>
        <v>20000</v>
      </c>
      <c r="E50" s="8">
        <f>_xlfn.XLOOKUP(A50,Damer!A:A,Damer!F:F,0)</f>
        <v>0</v>
      </c>
      <c r="F50" s="8">
        <f>_xlfn.XLOOKUP(A50,'Leirsund 2'!A:A,'Leirsund 2'!F:F,0)</f>
        <v>0</v>
      </c>
      <c r="G50" s="8">
        <f>_xlfn.XLOOKUP(A50,'A-lag'!A:A,'A-lag'!F:F,0)</f>
        <v>0</v>
      </c>
      <c r="H50" s="8">
        <f>_xlfn.XLOOKUP(A50,Svømming!A:A,Svømming!F:F,0)</f>
        <v>0</v>
      </c>
      <c r="I50" s="8">
        <f>_xlfn.XLOOKUP(A50,eSport!A:A,eSport!F:F,0)</f>
        <v>0</v>
      </c>
      <c r="J50" s="8">
        <f>_xlfn.XLOOKUP(A50,Futsal!A:A,Futsal!F:F,0)</f>
        <v>0</v>
      </c>
      <c r="K50" s="8">
        <f>_xlfn.XLOOKUP(A50,Drift!A:A,Drift!F:F,0)</f>
        <v>0</v>
      </c>
      <c r="L50" s="8">
        <f>_xlfn.XLOOKUP(A50,Adm!A:A,Adm!F:F,0)</f>
        <v>0</v>
      </c>
      <c r="N50" s="17"/>
      <c r="O50" s="18"/>
      <c r="P50" s="18"/>
      <c r="Q50" s="18"/>
      <c r="R50" s="18"/>
      <c r="S50" s="18"/>
      <c r="T50" s="19"/>
    </row>
    <row r="51" spans="1:20">
      <c r="A51" s="5" t="s">
        <v>57</v>
      </c>
      <c r="B51" s="8">
        <f t="shared" si="2"/>
        <v>0</v>
      </c>
      <c r="C51" s="8">
        <f>_xlfn.XLOOKUP(A51,Skigruppa!A:A,Skigruppa!F:F,0)</f>
        <v>0</v>
      </c>
      <c r="D51" s="8">
        <f>_xlfn.XLOOKUP(A51,Junior!A:A,Junior!F:F,0)</f>
        <v>0</v>
      </c>
      <c r="E51" s="8">
        <f>_xlfn.XLOOKUP(A51,Damer!A:A,Damer!F:F,0)</f>
        <v>0</v>
      </c>
      <c r="F51" s="8">
        <f>_xlfn.XLOOKUP(A51,'Leirsund 2'!A:A,'Leirsund 2'!F:F,0)</f>
        <v>0</v>
      </c>
      <c r="G51" s="8">
        <f>_xlfn.XLOOKUP(A51,'A-lag'!A:A,'A-lag'!F:F,0)</f>
        <v>0</v>
      </c>
      <c r="H51" s="8">
        <f>_xlfn.XLOOKUP(A51,Svømming!A:A,Svømming!F:F,0)</f>
        <v>0</v>
      </c>
      <c r="I51" s="8">
        <f>_xlfn.XLOOKUP(A51,eSport!A:A,eSport!F:F,0)</f>
        <v>0</v>
      </c>
      <c r="J51" s="8">
        <f>_xlfn.XLOOKUP(A51,Futsal!A:A,Futsal!F:F,0)</f>
        <v>0</v>
      </c>
      <c r="K51" s="8">
        <f>_xlfn.XLOOKUP(A51,Drift!A:A,Drift!F:F,0)</f>
        <v>0</v>
      </c>
      <c r="L51" s="8">
        <f>_xlfn.XLOOKUP(A51,Adm!A:A,Adm!F:F,0)</f>
        <v>0</v>
      </c>
      <c r="N51" s="17"/>
      <c r="O51" s="18"/>
      <c r="P51" s="18"/>
      <c r="Q51" s="18"/>
      <c r="R51" s="18"/>
      <c r="S51" s="18"/>
      <c r="T51" s="19"/>
    </row>
    <row r="52" spans="1:20">
      <c r="A52" s="5" t="s">
        <v>58</v>
      </c>
      <c r="B52" s="8">
        <f t="shared" si="2"/>
        <v>0</v>
      </c>
      <c r="C52" s="8">
        <f>_xlfn.XLOOKUP(A52,Skigruppa!A:A,Skigruppa!F:F,0)</f>
        <v>0</v>
      </c>
      <c r="D52" s="8">
        <f>_xlfn.XLOOKUP(A52,Junior!A:A,Junior!F:F,0)</f>
        <v>0</v>
      </c>
      <c r="E52" s="8">
        <f>_xlfn.XLOOKUP(A52,Damer!A:A,Damer!F:F,0)</f>
        <v>0</v>
      </c>
      <c r="F52" s="8">
        <f>_xlfn.XLOOKUP(A52,'Leirsund 2'!A:A,'Leirsund 2'!F:F,0)</f>
        <v>0</v>
      </c>
      <c r="G52" s="8">
        <f>_xlfn.XLOOKUP(A52,'A-lag'!A:A,'A-lag'!F:F,0)</f>
        <v>0</v>
      </c>
      <c r="H52" s="8">
        <f>_xlfn.XLOOKUP(A52,Svømming!A:A,Svømming!F:F,0)</f>
        <v>0</v>
      </c>
      <c r="I52" s="8">
        <f>_xlfn.XLOOKUP(A52,eSport!A:A,eSport!F:F,0)</f>
        <v>0</v>
      </c>
      <c r="J52" s="8">
        <f>_xlfn.XLOOKUP(A52,Futsal!A:A,Futsal!F:F,0)</f>
        <v>0</v>
      </c>
      <c r="K52" s="8">
        <f>_xlfn.XLOOKUP(A52,Drift!A:A,Drift!F:F,0)</f>
        <v>0</v>
      </c>
      <c r="L52" s="8">
        <f>_xlfn.XLOOKUP(A52,Adm!A:A,Adm!F:F,0)</f>
        <v>0</v>
      </c>
      <c r="N52" s="17"/>
      <c r="O52" s="18"/>
      <c r="P52" s="18"/>
      <c r="Q52" s="18"/>
      <c r="R52" s="18"/>
      <c r="S52" s="18"/>
      <c r="T52" s="19"/>
    </row>
    <row r="53" spans="1:20">
      <c r="A53" s="5" t="s">
        <v>59</v>
      </c>
      <c r="B53" s="8">
        <f t="shared" si="2"/>
        <v>0</v>
      </c>
      <c r="C53" s="8">
        <f>_xlfn.XLOOKUP(A53,Skigruppa!A:A,Skigruppa!F:F,0)</f>
        <v>0</v>
      </c>
      <c r="D53" s="8">
        <f>_xlfn.XLOOKUP(A53,Junior!A:A,Junior!F:F,0)</f>
        <v>0</v>
      </c>
      <c r="E53" s="8">
        <f>_xlfn.XLOOKUP(A53,Damer!A:A,Damer!F:F,0)</f>
        <v>0</v>
      </c>
      <c r="F53" s="8">
        <f>_xlfn.XLOOKUP(A53,'Leirsund 2'!A:A,'Leirsund 2'!F:F,0)</f>
        <v>0</v>
      </c>
      <c r="G53" s="8">
        <f>_xlfn.XLOOKUP(A53,'A-lag'!A:A,'A-lag'!F:F,0)</f>
        <v>0</v>
      </c>
      <c r="H53" s="8">
        <f>_xlfn.XLOOKUP(A53,Svømming!A:A,Svømming!F:F,0)</f>
        <v>0</v>
      </c>
      <c r="I53" s="8">
        <f>_xlfn.XLOOKUP(A53,eSport!A:A,eSport!F:F,0)</f>
        <v>0</v>
      </c>
      <c r="J53" s="8">
        <f>_xlfn.XLOOKUP(A53,Futsal!A:A,Futsal!F:F,0)</f>
        <v>0</v>
      </c>
      <c r="K53" s="8">
        <f>_xlfn.XLOOKUP(A53,Drift!A:A,Drift!F:F,0)</f>
        <v>0</v>
      </c>
      <c r="L53" s="8">
        <f>_xlfn.XLOOKUP(A53,Adm!A:A,Adm!F:F,0)</f>
        <v>0</v>
      </c>
      <c r="N53" s="17"/>
      <c r="O53" s="18"/>
      <c r="P53" s="18"/>
      <c r="Q53" s="18"/>
      <c r="R53" s="18"/>
      <c r="S53" s="18"/>
      <c r="T53" s="19"/>
    </row>
    <row r="54" spans="1:20">
      <c r="A54" s="5" t="s">
        <v>60</v>
      </c>
      <c r="B54" s="8">
        <f t="shared" si="2"/>
        <v>14100</v>
      </c>
      <c r="C54" s="8">
        <f>_xlfn.XLOOKUP(A54,Skigruppa!A:A,Skigruppa!F:F,0)</f>
        <v>300</v>
      </c>
      <c r="D54" s="8">
        <f>_xlfn.XLOOKUP(A54,Junior!A:A,Junior!F:F,0)</f>
        <v>0</v>
      </c>
      <c r="E54" s="8">
        <f>_xlfn.XLOOKUP(A54,Damer!A:A,Damer!F:F,0)</f>
        <v>4000</v>
      </c>
      <c r="F54" s="8">
        <f>_xlfn.XLOOKUP(A54,'Leirsund 2'!A:A,'Leirsund 2'!F:F,0)</f>
        <v>4200</v>
      </c>
      <c r="G54" s="8">
        <f>_xlfn.XLOOKUP(A54,'A-lag'!A:A,'A-lag'!F:F,0)</f>
        <v>4100</v>
      </c>
      <c r="H54" s="8">
        <f>_xlfn.XLOOKUP(A54,Svømming!A:A,Svømming!F:F,0)</f>
        <v>0</v>
      </c>
      <c r="I54" s="8">
        <f>_xlfn.XLOOKUP(A54,eSport!A:A,eSport!F:F,0)</f>
        <v>1500</v>
      </c>
      <c r="J54" s="8">
        <f>_xlfn.XLOOKUP(A54,Futsal!A:A,Futsal!F:F,0)</f>
        <v>0</v>
      </c>
      <c r="K54" s="8">
        <f>_xlfn.XLOOKUP(A54,Drift!A:A,Drift!F:F,0)</f>
        <v>0</v>
      </c>
      <c r="L54" s="8">
        <f>_xlfn.XLOOKUP(A54,Adm!A:A,Adm!F:F,0)</f>
        <v>0</v>
      </c>
      <c r="N54" s="17"/>
      <c r="O54" s="18"/>
      <c r="P54" s="18"/>
      <c r="Q54" s="18"/>
      <c r="R54" s="18"/>
      <c r="S54" s="18"/>
      <c r="T54" s="19"/>
    </row>
    <row r="55" spans="1:20">
      <c r="A55" s="5" t="s">
        <v>61</v>
      </c>
      <c r="B55" s="8">
        <f t="shared" si="2"/>
        <v>27700</v>
      </c>
      <c r="C55" s="8">
        <f>_xlfn.XLOOKUP(A55,Skigruppa!A:A,Skigruppa!F:F,0)</f>
        <v>2600</v>
      </c>
      <c r="D55" s="8">
        <f>_xlfn.XLOOKUP(A55,Junior!A:A,Junior!F:F,0)</f>
        <v>15000</v>
      </c>
      <c r="E55" s="8">
        <f>_xlfn.XLOOKUP(A55,Damer!A:A,Damer!F:F,0)</f>
        <v>3200</v>
      </c>
      <c r="F55" s="8">
        <f>_xlfn.XLOOKUP(A55,'Leirsund 2'!A:A,'Leirsund 2'!F:F,0)</f>
        <v>4700</v>
      </c>
      <c r="G55" s="8">
        <f>_xlfn.XLOOKUP(A55,'A-lag'!A:A,'A-lag'!F:F,0)</f>
        <v>2200</v>
      </c>
      <c r="H55" s="8">
        <f>_xlfn.XLOOKUP(A55,Svømming!A:A,Svømming!F:F,0)</f>
        <v>0</v>
      </c>
      <c r="I55" s="8">
        <f>_xlfn.XLOOKUP(A55,eSport!A:A,eSport!F:F,0)</f>
        <v>0</v>
      </c>
      <c r="J55" s="8">
        <f>_xlfn.XLOOKUP(A55,Futsal!A:A,Futsal!F:F,0)</f>
        <v>0</v>
      </c>
      <c r="K55" s="8">
        <f>_xlfn.XLOOKUP(A55,Drift!A:A,Drift!F:F,0)</f>
        <v>0</v>
      </c>
      <c r="L55" s="8">
        <f>_xlfn.XLOOKUP(A55,Adm!A:A,Adm!F:F,0)</f>
        <v>0</v>
      </c>
      <c r="N55" s="17"/>
      <c r="O55" s="18"/>
      <c r="P55" s="18"/>
      <c r="Q55" s="18"/>
      <c r="R55" s="18"/>
      <c r="S55" s="18"/>
      <c r="T55" s="19"/>
    </row>
    <row r="56" spans="1:20">
      <c r="A56" s="5" t="s">
        <v>62</v>
      </c>
      <c r="B56" s="8">
        <f t="shared" si="2"/>
        <v>129000</v>
      </c>
      <c r="C56" s="8">
        <f>_xlfn.XLOOKUP(A56,Skigruppa!A:A,Skigruppa!F:F,0)</f>
        <v>0</v>
      </c>
      <c r="D56" s="8">
        <f>_xlfn.XLOOKUP(A56,Junior!A:A,Junior!F:F,0)</f>
        <v>0</v>
      </c>
      <c r="E56" s="8">
        <f>_xlfn.XLOOKUP(A56,Damer!A:A,Damer!F:F,0)</f>
        <v>0</v>
      </c>
      <c r="F56" s="8">
        <f>_xlfn.XLOOKUP(A56,'Leirsund 2'!A:A,'Leirsund 2'!F:F,0)</f>
        <v>0</v>
      </c>
      <c r="G56" s="8">
        <f>_xlfn.XLOOKUP(A56,'A-lag'!A:A,'A-lag'!F:F,0)</f>
        <v>0</v>
      </c>
      <c r="H56" s="8">
        <f>_xlfn.XLOOKUP(A56,Svømming!A:A,Svømming!F:F,0)</f>
        <v>14000</v>
      </c>
      <c r="I56" s="8">
        <f>_xlfn.XLOOKUP(A56,eSport!A:A,eSport!F:F,0)</f>
        <v>0</v>
      </c>
      <c r="J56" s="8">
        <f>_xlfn.XLOOKUP(A56,Futsal!A:A,Futsal!F:F,0)</f>
        <v>0</v>
      </c>
      <c r="K56" s="8">
        <f>_xlfn.XLOOKUP(A56,Drift!A:A,Drift!F:F,0)</f>
        <v>0</v>
      </c>
      <c r="L56" s="8">
        <f>_xlfn.XLOOKUP(A56,Adm!A:A,Adm!F:F,0)</f>
        <v>115000</v>
      </c>
      <c r="N56" s="17"/>
      <c r="O56" s="18"/>
      <c r="P56" s="18"/>
      <c r="Q56" s="18"/>
      <c r="R56" s="18"/>
      <c r="S56" s="18"/>
      <c r="T56" s="19"/>
    </row>
    <row r="57" spans="1:20">
      <c r="A57" s="5" t="s">
        <v>63</v>
      </c>
      <c r="B57" s="8">
        <f t="shared" si="2"/>
        <v>5500</v>
      </c>
      <c r="C57" s="8">
        <f>_xlfn.XLOOKUP(A57,Skigruppa!A:A,Skigruppa!F:F,0)</f>
        <v>0</v>
      </c>
      <c r="D57" s="8">
        <f>_xlfn.XLOOKUP(A57,Junior!A:A,Junior!F:F,0)</f>
        <v>2500</v>
      </c>
      <c r="E57" s="8">
        <f>_xlfn.XLOOKUP(A57,Damer!A:A,Damer!F:F,0)</f>
        <v>0</v>
      </c>
      <c r="F57" s="8">
        <f>_xlfn.XLOOKUP(A57,'Leirsund 2'!A:A,'Leirsund 2'!F:F,0)</f>
        <v>0</v>
      </c>
      <c r="G57" s="8">
        <f>_xlfn.XLOOKUP(A57,'A-lag'!A:A,'A-lag'!F:F,0)</f>
        <v>3000</v>
      </c>
      <c r="H57" s="8">
        <f>_xlfn.XLOOKUP(A57,Svømming!A:A,Svømming!F:F,0)</f>
        <v>0</v>
      </c>
      <c r="I57" s="8">
        <f>_xlfn.XLOOKUP(A57,eSport!A:A,eSport!F:F,0)</f>
        <v>0</v>
      </c>
      <c r="J57" s="8">
        <f>_xlfn.XLOOKUP(A57,Futsal!A:A,Futsal!F:F,0)</f>
        <v>0</v>
      </c>
      <c r="K57" s="8">
        <f>_xlfn.XLOOKUP(A57,Drift!A:A,Drift!F:F,0)</f>
        <v>0</v>
      </c>
      <c r="L57" s="8">
        <f>_xlfn.XLOOKUP(A57,Adm!A:A,Adm!F:F,0)</f>
        <v>0</v>
      </c>
      <c r="N57" s="17"/>
      <c r="O57" s="18"/>
      <c r="P57" s="18"/>
      <c r="Q57" s="18"/>
      <c r="R57" s="18"/>
      <c r="S57" s="18"/>
      <c r="T57" s="19"/>
    </row>
    <row r="58" spans="1:20">
      <c r="A58" s="5" t="s">
        <v>64</v>
      </c>
      <c r="B58" s="8">
        <f t="shared" si="2"/>
        <v>31000</v>
      </c>
      <c r="C58" s="8">
        <f>_xlfn.XLOOKUP(A58,Skigruppa!A:A,Skigruppa!F:F,0)</f>
        <v>23000</v>
      </c>
      <c r="D58" s="8">
        <f>_xlfn.XLOOKUP(A58,Junior!A:A,Junior!F:F,0)</f>
        <v>0</v>
      </c>
      <c r="E58" s="8">
        <f>_xlfn.XLOOKUP(A58,Damer!A:A,Damer!F:F,0)</f>
        <v>0</v>
      </c>
      <c r="F58" s="8">
        <f>_xlfn.XLOOKUP(A58,'Leirsund 2'!A:A,'Leirsund 2'!F:F,0)</f>
        <v>0</v>
      </c>
      <c r="G58" s="8">
        <f>_xlfn.XLOOKUP(A58,'A-lag'!A:A,'A-lag'!F:F,0)</f>
        <v>0</v>
      </c>
      <c r="H58" s="8">
        <f>_xlfn.XLOOKUP(A58,Svømming!A:A,Svømming!F:F,0)</f>
        <v>0</v>
      </c>
      <c r="I58" s="8">
        <f>_xlfn.XLOOKUP(A58,eSport!A:A,eSport!F:F,0)</f>
        <v>0</v>
      </c>
      <c r="J58" s="8">
        <f>_xlfn.XLOOKUP(A58,Futsal!A:A,Futsal!F:F,0)</f>
        <v>0</v>
      </c>
      <c r="K58" s="8">
        <f>_xlfn.XLOOKUP(A58,Drift!A:A,Drift!F:F,0)</f>
        <v>8000</v>
      </c>
      <c r="L58" s="8">
        <f>_xlfn.XLOOKUP(A58,Adm!A:A,Adm!F:F,0)</f>
        <v>0</v>
      </c>
      <c r="N58" s="17"/>
      <c r="O58" s="18"/>
      <c r="P58" s="18"/>
      <c r="Q58" s="18"/>
      <c r="R58" s="18"/>
      <c r="S58" s="18"/>
      <c r="T58" s="19"/>
    </row>
    <row r="59" spans="1:20">
      <c r="A59" s="5" t="s">
        <v>65</v>
      </c>
      <c r="B59" s="8">
        <f t="shared" si="2"/>
        <v>0</v>
      </c>
      <c r="C59" s="8">
        <f>_xlfn.XLOOKUP(A59,Skigruppa!A:A,Skigruppa!F:F,0)</f>
        <v>0</v>
      </c>
      <c r="D59" s="8">
        <f>_xlfn.XLOOKUP(A59,Junior!A:A,Junior!F:F,0)</f>
        <v>0</v>
      </c>
      <c r="E59" s="8">
        <f>_xlfn.XLOOKUP(A59,Damer!A:A,Damer!F:F,0)</f>
        <v>0</v>
      </c>
      <c r="F59" s="8">
        <f>_xlfn.XLOOKUP(A59,'Leirsund 2'!A:A,'Leirsund 2'!F:F,0)</f>
        <v>0</v>
      </c>
      <c r="G59" s="8">
        <f>_xlfn.XLOOKUP(A59,'A-lag'!A:A,'A-lag'!F:F,0)</f>
        <v>0</v>
      </c>
      <c r="H59" s="8">
        <f>_xlfn.XLOOKUP(A59,Svømming!A:A,Svømming!F:F,0)</f>
        <v>0</v>
      </c>
      <c r="I59" s="8">
        <f>_xlfn.XLOOKUP(A59,eSport!A:A,eSport!F:F,0)</f>
        <v>0</v>
      </c>
      <c r="J59" s="8">
        <f>_xlfn.XLOOKUP(A59,Futsal!A:A,Futsal!F:F,0)</f>
        <v>0</v>
      </c>
      <c r="K59" s="8">
        <f>_xlfn.XLOOKUP(A59,Drift!A:A,Drift!F:F,0)</f>
        <v>0</v>
      </c>
      <c r="L59" s="8">
        <f>_xlfn.XLOOKUP(A59,Adm!A:A,Adm!F:F,0)</f>
        <v>0</v>
      </c>
      <c r="N59" s="17"/>
      <c r="O59" s="18"/>
      <c r="P59" s="18"/>
      <c r="Q59" s="18"/>
      <c r="R59" s="18"/>
      <c r="S59" s="18"/>
      <c r="T59" s="19"/>
    </row>
    <row r="60" spans="1:20">
      <c r="A60" s="5" t="s">
        <v>66</v>
      </c>
      <c r="B60" s="8">
        <f t="shared" si="2"/>
        <v>0</v>
      </c>
      <c r="C60" s="8">
        <f>_xlfn.XLOOKUP(A60,Skigruppa!A:A,Skigruppa!F:F,0)</f>
        <v>0</v>
      </c>
      <c r="D60" s="8">
        <f>_xlfn.XLOOKUP(A60,Junior!A:A,Junior!F:F,0)</f>
        <v>0</v>
      </c>
      <c r="E60" s="8">
        <f>_xlfn.XLOOKUP(A60,Damer!A:A,Damer!F:F,0)</f>
        <v>0</v>
      </c>
      <c r="F60" s="8">
        <f>_xlfn.XLOOKUP(A60,'Leirsund 2'!A:A,'Leirsund 2'!F:F,0)</f>
        <v>0</v>
      </c>
      <c r="G60" s="8">
        <f>_xlfn.XLOOKUP(A60,'A-lag'!A:A,'A-lag'!F:F,0)</f>
        <v>0</v>
      </c>
      <c r="H60" s="8">
        <f>_xlfn.XLOOKUP(A60,Svømming!A:A,Svømming!F:F,0)</f>
        <v>0</v>
      </c>
      <c r="I60" s="8">
        <f>_xlfn.XLOOKUP(A60,eSport!A:A,eSport!F:F,0)</f>
        <v>0</v>
      </c>
      <c r="J60" s="8">
        <f>_xlfn.XLOOKUP(A60,Futsal!A:A,Futsal!F:F,0)</f>
        <v>0</v>
      </c>
      <c r="K60" s="8">
        <f>_xlfn.XLOOKUP(A60,Drift!A:A,Drift!F:F,0)</f>
        <v>0</v>
      </c>
      <c r="L60" s="8">
        <f>_xlfn.XLOOKUP(A60,Adm!A:A,Adm!F:F,0)</f>
        <v>0</v>
      </c>
      <c r="N60" s="17"/>
      <c r="O60" s="18"/>
      <c r="P60" s="18"/>
      <c r="Q60" s="18"/>
      <c r="R60" s="18"/>
      <c r="S60" s="18"/>
      <c r="T60" s="19"/>
    </row>
    <row r="61" spans="1:20">
      <c r="A61" s="5" t="s">
        <v>67</v>
      </c>
      <c r="B61" s="8">
        <f t="shared" si="2"/>
        <v>0</v>
      </c>
      <c r="C61" s="8">
        <f>_xlfn.XLOOKUP(A61,Skigruppa!A:A,Skigruppa!F:F,0)</f>
        <v>0</v>
      </c>
      <c r="D61" s="8">
        <f>_xlfn.XLOOKUP(A61,Junior!A:A,Junior!F:F,0)</f>
        <v>0</v>
      </c>
      <c r="E61" s="8">
        <f>_xlfn.XLOOKUP(A61,Damer!A:A,Damer!F:F,0)</f>
        <v>0</v>
      </c>
      <c r="F61" s="8">
        <f>_xlfn.XLOOKUP(A61,'Leirsund 2'!A:A,'Leirsund 2'!F:F,0)</f>
        <v>0</v>
      </c>
      <c r="G61" s="8">
        <f>_xlfn.XLOOKUP(A61,'A-lag'!A:A,'A-lag'!F:F,0)</f>
        <v>0</v>
      </c>
      <c r="H61" s="8">
        <f>_xlfn.XLOOKUP(A61,Svømming!A:A,Svømming!F:F,0)</f>
        <v>0</v>
      </c>
      <c r="I61" s="8">
        <f>_xlfn.XLOOKUP(A61,eSport!A:A,eSport!F:F,0)</f>
        <v>0</v>
      </c>
      <c r="J61" s="8">
        <f>_xlfn.XLOOKUP(A61,Futsal!A:A,Futsal!F:F,0)</f>
        <v>0</v>
      </c>
      <c r="K61" s="8">
        <f>_xlfn.XLOOKUP(A61,Drift!A:A,Drift!F:F,0)</f>
        <v>0</v>
      </c>
      <c r="L61" s="8">
        <f>_xlfn.XLOOKUP(A61,Adm!A:A,Adm!F:F,0)</f>
        <v>0</v>
      </c>
      <c r="N61" s="17"/>
      <c r="O61" s="18"/>
      <c r="P61" s="18"/>
      <c r="Q61" s="18"/>
      <c r="R61" s="18"/>
      <c r="S61" s="18"/>
      <c r="T61" s="19"/>
    </row>
    <row r="62" spans="1:20">
      <c r="A62" s="5" t="s">
        <v>68</v>
      </c>
      <c r="B62" s="8">
        <f t="shared" si="2"/>
        <v>0</v>
      </c>
      <c r="C62" s="8">
        <f>_xlfn.XLOOKUP(A62,Skigruppa!A:A,Skigruppa!F:F,0)</f>
        <v>0</v>
      </c>
      <c r="D62" s="8">
        <f>_xlfn.XLOOKUP(A62,Junior!A:A,Junior!F:F,0)</f>
        <v>0</v>
      </c>
      <c r="E62" s="8">
        <f>_xlfn.XLOOKUP(A62,Damer!A:A,Damer!F:F,0)</f>
        <v>0</v>
      </c>
      <c r="F62" s="8">
        <f>_xlfn.XLOOKUP(A62,'Leirsund 2'!A:A,'Leirsund 2'!F:F,0)</f>
        <v>0</v>
      </c>
      <c r="G62" s="8">
        <f>_xlfn.XLOOKUP(A62,'A-lag'!A:A,'A-lag'!F:F,0)</f>
        <v>0</v>
      </c>
      <c r="H62" s="8">
        <f>_xlfn.XLOOKUP(A62,Svømming!A:A,Svømming!F:F,0)</f>
        <v>0</v>
      </c>
      <c r="I62" s="8">
        <f>_xlfn.XLOOKUP(A62,eSport!A:A,eSport!F:F,0)</f>
        <v>0</v>
      </c>
      <c r="J62" s="8">
        <f>_xlfn.XLOOKUP(A62,Futsal!A:A,Futsal!F:F,0)</f>
        <v>0</v>
      </c>
      <c r="K62" s="8">
        <f>_xlfn.XLOOKUP(A62,Drift!A:A,Drift!F:F,0)</f>
        <v>0</v>
      </c>
      <c r="L62" s="8">
        <f>_xlfn.XLOOKUP(A62,Adm!A:A,Adm!F:F,0)</f>
        <v>0</v>
      </c>
      <c r="N62" s="17"/>
      <c r="O62" s="18"/>
      <c r="P62" s="18"/>
      <c r="Q62" s="18"/>
      <c r="R62" s="18"/>
      <c r="S62" s="18"/>
      <c r="T62" s="19"/>
    </row>
    <row r="63" spans="1:20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</row>
    <row r="64" spans="1:20">
      <c r="A64" s="15" t="s">
        <v>69</v>
      </c>
      <c r="B64" s="16">
        <f t="shared" ref="B64:K64" si="3">SUM(B24:B62)</f>
        <v>1841800</v>
      </c>
      <c r="C64" s="16">
        <f t="shared" si="3"/>
        <v>413400</v>
      </c>
      <c r="D64" s="16">
        <f t="shared" si="3"/>
        <v>74000</v>
      </c>
      <c r="E64" s="16">
        <f t="shared" si="3"/>
        <v>59200</v>
      </c>
      <c r="F64" s="16">
        <f t="shared" si="3"/>
        <v>71900</v>
      </c>
      <c r="G64" s="16">
        <f t="shared" si="3"/>
        <v>238400</v>
      </c>
      <c r="H64" s="16">
        <f t="shared" si="3"/>
        <v>32000</v>
      </c>
      <c r="I64" s="16">
        <f t="shared" si="3"/>
        <v>50400</v>
      </c>
      <c r="J64" s="16">
        <f t="shared" si="3"/>
        <v>0</v>
      </c>
      <c r="K64" s="16">
        <f t="shared" si="3"/>
        <v>584500</v>
      </c>
      <c r="L64" s="16">
        <f>SUM(L24:L62)</f>
        <v>318000</v>
      </c>
    </row>
    <row r="66" spans="1:12">
      <c r="A66" s="15" t="s">
        <v>70</v>
      </c>
      <c r="B66" s="8">
        <f>B20-B64</f>
        <v>-300</v>
      </c>
      <c r="C66" s="8">
        <f t="shared" ref="C66:L66" si="4">C20-C64</f>
        <v>-254900</v>
      </c>
      <c r="D66" s="8">
        <f t="shared" si="4"/>
        <v>-4000</v>
      </c>
      <c r="E66" s="8">
        <f t="shared" si="4"/>
        <v>6800</v>
      </c>
      <c r="F66" s="8">
        <f t="shared" si="4"/>
        <v>600</v>
      </c>
      <c r="G66" s="8">
        <f t="shared" si="4"/>
        <v>-99400</v>
      </c>
      <c r="H66" s="8">
        <f t="shared" si="4"/>
        <v>-18500</v>
      </c>
      <c r="I66" s="8">
        <f t="shared" si="4"/>
        <v>-40400</v>
      </c>
      <c r="J66" s="8">
        <f t="shared" si="4"/>
        <v>0</v>
      </c>
      <c r="K66" s="8">
        <f t="shared" si="4"/>
        <v>-394500</v>
      </c>
      <c r="L66" s="8">
        <f t="shared" si="4"/>
        <v>804000</v>
      </c>
    </row>
    <row r="68" spans="1:12">
      <c r="A68" s="15" t="s">
        <v>71</v>
      </c>
      <c r="B68" s="1"/>
    </row>
    <row r="69" spans="1:12">
      <c r="A69" s="5" t="s">
        <v>72</v>
      </c>
      <c r="B69" s="8">
        <f t="shared" ref="B69:B70" si="5">SUM(C69:L69)</f>
        <v>0</v>
      </c>
      <c r="C69" s="8">
        <f>_xlfn.XLOOKUP(A69,Skigruppa!A:A,Skigruppa!F:F,0)</f>
        <v>0</v>
      </c>
      <c r="D69" s="8">
        <f>_xlfn.XLOOKUP(A69,Junior!A:A,Junior!F:F,0)</f>
        <v>0</v>
      </c>
      <c r="E69" s="8">
        <f>_xlfn.XLOOKUP(A69,Damer!A:A,Damer!F:F,0)</f>
        <v>0</v>
      </c>
      <c r="F69" s="8">
        <f>_xlfn.XLOOKUP(A69,'Leirsund 2'!A:A,'Leirsund 2'!F:F,0)</f>
        <v>0</v>
      </c>
      <c r="G69" s="8">
        <f>_xlfn.XLOOKUP(A69,'A-lag'!A:A,'A-lag'!F:F,0)</f>
        <v>0</v>
      </c>
      <c r="H69" s="8">
        <f>_xlfn.XLOOKUP(A69,Svømming!A:A,Svømming!F:F,0)</f>
        <v>0</v>
      </c>
      <c r="I69" s="8">
        <f>_xlfn.XLOOKUP(A69,eSport!A:A,eSport!F:F,0)</f>
        <v>0</v>
      </c>
      <c r="J69" s="8">
        <f>_xlfn.XLOOKUP(A69,Futsal!A:A,Futsal!F:F,0)</f>
        <v>0</v>
      </c>
      <c r="K69" s="8">
        <f>_xlfn.XLOOKUP(A69,Drift!A:A,Drift!F:F,0)</f>
        <v>0</v>
      </c>
      <c r="L69" s="8">
        <f>_xlfn.XLOOKUP(A69,Adm!A:A,Adm!F:F,0)</f>
        <v>0</v>
      </c>
    </row>
    <row r="70" spans="1:12">
      <c r="A70" s="5" t="s">
        <v>73</v>
      </c>
      <c r="B70" s="8">
        <f t="shared" si="5"/>
        <v>230000</v>
      </c>
      <c r="C70" s="8">
        <f>_xlfn.XLOOKUP(A70,Skigruppa!A:A,Skigruppa!F:F,0)</f>
        <v>0</v>
      </c>
      <c r="D70" s="8">
        <f>_xlfn.XLOOKUP(A70,Junior!A:A,Junior!F:F,0)</f>
        <v>0</v>
      </c>
      <c r="E70" s="8">
        <f>_xlfn.XLOOKUP(A70,Damer!A:A,Damer!F:F,0)</f>
        <v>0</v>
      </c>
      <c r="F70" s="8">
        <f>_xlfn.XLOOKUP(A70,'Leirsund 2'!A:A,'Leirsund 2'!F:F,0)</f>
        <v>0</v>
      </c>
      <c r="G70" s="8">
        <f>_xlfn.XLOOKUP(A70,'A-lag'!A:A,'A-lag'!F:F,0)</f>
        <v>0</v>
      </c>
      <c r="H70" s="8">
        <f>_xlfn.XLOOKUP(A70,Svømming!A:A,Svømming!F:F,0)</f>
        <v>0</v>
      </c>
      <c r="I70" s="8">
        <f>_xlfn.XLOOKUP(A70,eSport!A:A,eSport!F:F,0)</f>
        <v>0</v>
      </c>
      <c r="J70" s="8">
        <f>_xlfn.XLOOKUP(A70,Futsal!A:A,Futsal!F:F,0)</f>
        <v>0</v>
      </c>
      <c r="K70" s="8">
        <f>_xlfn.XLOOKUP(A70,Drift!A:A,Drift!F:F,0)</f>
        <v>0</v>
      </c>
      <c r="L70" s="8">
        <f>_xlfn.XLOOKUP(A70,Adm!A:A,Adm!F:F,0)</f>
        <v>230000</v>
      </c>
    </row>
    <row r="73" spans="1:12">
      <c r="A73" s="15" t="s">
        <v>74</v>
      </c>
      <c r="B73" s="16">
        <f t="shared" ref="B73:L73" si="6">B20+B69+B70-B64</f>
        <v>229700</v>
      </c>
      <c r="C73" s="16">
        <f t="shared" si="6"/>
        <v>-254900</v>
      </c>
      <c r="D73" s="16">
        <f t="shared" si="6"/>
        <v>-4000</v>
      </c>
      <c r="E73" s="16">
        <f t="shared" si="6"/>
        <v>6800</v>
      </c>
      <c r="F73" s="16">
        <f t="shared" si="6"/>
        <v>600</v>
      </c>
      <c r="G73" s="16">
        <f t="shared" si="6"/>
        <v>-99400</v>
      </c>
      <c r="H73" s="16">
        <f t="shared" si="6"/>
        <v>-18500</v>
      </c>
      <c r="I73" s="16">
        <f t="shared" si="6"/>
        <v>-40400</v>
      </c>
      <c r="J73" s="16">
        <f t="shared" si="6"/>
        <v>0</v>
      </c>
      <c r="K73" s="16">
        <f t="shared" si="6"/>
        <v>-394500</v>
      </c>
      <c r="L73" s="16">
        <f t="shared" si="6"/>
        <v>1034000</v>
      </c>
    </row>
  </sheetData>
  <mergeCells count="77">
    <mergeCell ref="G3:G4"/>
    <mergeCell ref="B3:B4"/>
    <mergeCell ref="C3:C4"/>
    <mergeCell ref="D3:D4"/>
    <mergeCell ref="E3:E4"/>
    <mergeCell ref="F3:F4"/>
    <mergeCell ref="B22:B23"/>
    <mergeCell ref="C22:C23"/>
    <mergeCell ref="D22:D23"/>
    <mergeCell ref="E22:E23"/>
    <mergeCell ref="F22:F23"/>
    <mergeCell ref="H3:H4"/>
    <mergeCell ref="I3:I4"/>
    <mergeCell ref="J3:J4"/>
    <mergeCell ref="K3:K4"/>
    <mergeCell ref="L3:L4"/>
    <mergeCell ref="N9:T9"/>
    <mergeCell ref="N10:T10"/>
    <mergeCell ref="N11:T11"/>
    <mergeCell ref="G22:G23"/>
    <mergeCell ref="H22:H23"/>
    <mergeCell ref="I22:I23"/>
    <mergeCell ref="J22:J23"/>
    <mergeCell ref="K22:K23"/>
    <mergeCell ref="L22:L23"/>
    <mergeCell ref="N3:T4"/>
    <mergeCell ref="N5:T5"/>
    <mergeCell ref="N6:T6"/>
    <mergeCell ref="N7:T7"/>
    <mergeCell ref="N8:T8"/>
    <mergeCell ref="N28:T28"/>
    <mergeCell ref="N12:T12"/>
    <mergeCell ref="N13:T13"/>
    <mergeCell ref="N14:T14"/>
    <mergeCell ref="N15:T15"/>
    <mergeCell ref="N16:T16"/>
    <mergeCell ref="N17:T17"/>
    <mergeCell ref="N18:T18"/>
    <mergeCell ref="N24:T24"/>
    <mergeCell ref="N25:T25"/>
    <mergeCell ref="N26:T26"/>
    <mergeCell ref="N27:T27"/>
    <mergeCell ref="N40:T40"/>
    <mergeCell ref="N29:T29"/>
    <mergeCell ref="N30:T30"/>
    <mergeCell ref="N31:T31"/>
    <mergeCell ref="N32:T32"/>
    <mergeCell ref="N33:T33"/>
    <mergeCell ref="N34:T34"/>
    <mergeCell ref="N35:T35"/>
    <mergeCell ref="N36:T36"/>
    <mergeCell ref="N37:T37"/>
    <mergeCell ref="N38:T38"/>
    <mergeCell ref="N39:T39"/>
    <mergeCell ref="N52:T52"/>
    <mergeCell ref="N41:T41"/>
    <mergeCell ref="N42:T42"/>
    <mergeCell ref="N43:T43"/>
    <mergeCell ref="N44:T44"/>
    <mergeCell ref="N45:T45"/>
    <mergeCell ref="N46:T46"/>
    <mergeCell ref="N59:T59"/>
    <mergeCell ref="N60:T60"/>
    <mergeCell ref="N61:T61"/>
    <mergeCell ref="N62:T62"/>
    <mergeCell ref="N22:T23"/>
    <mergeCell ref="N53:T53"/>
    <mergeCell ref="N54:T54"/>
    <mergeCell ref="N55:T55"/>
    <mergeCell ref="N56:T56"/>
    <mergeCell ref="N57:T57"/>
    <mergeCell ref="N58:T58"/>
    <mergeCell ref="N47:T47"/>
    <mergeCell ref="N48:T48"/>
    <mergeCell ref="N49:T49"/>
    <mergeCell ref="N50:T50"/>
    <mergeCell ref="N51:T5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254B3-66A8-455B-846C-5C1D29DD9756}">
  <dimension ref="A1:H38"/>
  <sheetViews>
    <sheetView zoomScaleNormal="100" workbookViewId="0">
      <selection activeCell="H34" sqref="H34"/>
    </sheetView>
  </sheetViews>
  <sheetFormatPr defaultRowHeight="15"/>
  <cols>
    <col min="1" max="1" width="50.42578125" bestFit="1" customWidth="1"/>
    <col min="2" max="4" width="13.7109375" bestFit="1" customWidth="1"/>
    <col min="5" max="5" width="15.42578125" bestFit="1" customWidth="1"/>
    <col min="6" max="6" width="13.7109375" bestFit="1" customWidth="1"/>
    <col min="7" max="7" width="9.7109375" bestFit="1" customWidth="1"/>
    <col min="8" max="8" width="95.57031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105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2"/>
      <c r="H12" s="5"/>
    </row>
    <row r="13" spans="1:8">
      <c r="A13" s="5" t="s">
        <v>16</v>
      </c>
      <c r="B13" s="6">
        <v>84870.09</v>
      </c>
      <c r="C13" s="6">
        <v>68477.16</v>
      </c>
      <c r="D13" s="6">
        <v>84870.09</v>
      </c>
      <c r="E13" s="6">
        <v>68477.16</v>
      </c>
      <c r="F13" s="6">
        <v>85000</v>
      </c>
      <c r="G13" s="12">
        <f>(F13-B13)/ABS(B13)</f>
        <v>1.5306923793765683E-3</v>
      </c>
      <c r="H13" s="5"/>
    </row>
    <row r="14" spans="1:8">
      <c r="A14" s="5" t="s">
        <v>18</v>
      </c>
      <c r="B14" s="6">
        <v>104800</v>
      </c>
      <c r="C14" s="6">
        <v>65250</v>
      </c>
      <c r="D14" s="6">
        <v>104800</v>
      </c>
      <c r="E14" s="6">
        <v>65250</v>
      </c>
      <c r="F14" s="6">
        <v>105000</v>
      </c>
      <c r="G14" s="12">
        <f t="shared" ref="G14:G38" si="0">(F14-B14)/ABS(B14)</f>
        <v>1.9083969465648854E-3</v>
      </c>
      <c r="H14" s="5"/>
    </row>
    <row r="15" spans="1:8">
      <c r="A15" s="5" t="s">
        <v>21</v>
      </c>
      <c r="B15" s="6">
        <v>-26020</v>
      </c>
      <c r="C15" s="6">
        <v>2509</v>
      </c>
      <c r="D15" s="6">
        <v>-26020</v>
      </c>
      <c r="E15" s="6">
        <v>2509</v>
      </c>
      <c r="F15" s="6">
        <v>0</v>
      </c>
      <c r="G15" s="12">
        <f t="shared" si="0"/>
        <v>1</v>
      </c>
      <c r="H15" s="5"/>
    </row>
    <row r="16" spans="1:8">
      <c r="A16" s="5"/>
      <c r="B16" s="6">
        <v>163650.09</v>
      </c>
      <c r="C16" s="6">
        <v>136236.16</v>
      </c>
      <c r="D16" s="6">
        <v>163650.09</v>
      </c>
      <c r="E16" s="6">
        <v>136236.16</v>
      </c>
      <c r="F16" s="6"/>
      <c r="G16" s="12">
        <f t="shared" si="0"/>
        <v>-1</v>
      </c>
      <c r="H16" s="5"/>
    </row>
    <row r="17" spans="1:8">
      <c r="B17" s="4"/>
      <c r="C17" s="4"/>
      <c r="D17" s="4"/>
      <c r="E17" s="4"/>
      <c r="G17" s="13"/>
    </row>
    <row r="18" spans="1:8">
      <c r="A18" s="5" t="s">
        <v>88</v>
      </c>
      <c r="B18" s="6"/>
      <c r="C18" s="6"/>
      <c r="D18" s="6"/>
      <c r="E18" s="6"/>
      <c r="F18" s="6"/>
      <c r="G18" s="12"/>
      <c r="H18" s="5"/>
    </row>
    <row r="19" spans="1:8">
      <c r="A19" s="5" t="s">
        <v>32</v>
      </c>
      <c r="B19" s="6">
        <v>-89002.25</v>
      </c>
      <c r="C19" s="6">
        <v>-102900</v>
      </c>
      <c r="D19" s="6">
        <v>-89002.25</v>
      </c>
      <c r="E19" s="6">
        <v>-102900</v>
      </c>
      <c r="F19" s="6">
        <v>100000</v>
      </c>
      <c r="G19" s="12">
        <f t="shared" si="0"/>
        <v>2.1235671008317207</v>
      </c>
      <c r="H19" s="5"/>
    </row>
    <row r="20" spans="1:8">
      <c r="A20" s="5" t="s">
        <v>33</v>
      </c>
      <c r="B20" s="6">
        <v>-8653.43</v>
      </c>
      <c r="C20" s="6">
        <v>-10915.28</v>
      </c>
      <c r="D20" s="6">
        <v>-8653.43</v>
      </c>
      <c r="E20" s="6">
        <v>-10915.28</v>
      </c>
      <c r="F20" s="6">
        <v>10000</v>
      </c>
      <c r="G20" s="12">
        <f t="shared" si="0"/>
        <v>2.15561112761067</v>
      </c>
      <c r="H20" s="5"/>
    </row>
    <row r="21" spans="1:8">
      <c r="A21" s="5" t="s">
        <v>37</v>
      </c>
      <c r="B21" s="6">
        <v>-27440</v>
      </c>
      <c r="C21" s="6">
        <v>-6860</v>
      </c>
      <c r="D21" s="6">
        <v>-27440</v>
      </c>
      <c r="E21" s="6">
        <v>-6860</v>
      </c>
      <c r="F21" s="6">
        <v>27000</v>
      </c>
      <c r="G21" s="12">
        <f t="shared" si="0"/>
        <v>1.9839650145772594</v>
      </c>
      <c r="H21" s="5"/>
    </row>
    <row r="22" spans="1:8">
      <c r="A22" s="5" t="s">
        <v>39</v>
      </c>
      <c r="B22" s="6">
        <v>-26952.26</v>
      </c>
      <c r="C22" s="6">
        <v>-23613.48</v>
      </c>
      <c r="D22" s="6">
        <v>-26952.26</v>
      </c>
      <c r="E22" s="6">
        <v>-23613.48</v>
      </c>
      <c r="F22" s="6">
        <v>30000</v>
      </c>
      <c r="G22" s="12">
        <f t="shared" si="0"/>
        <v>2.1130792000373995</v>
      </c>
      <c r="H22" s="5"/>
    </row>
    <row r="23" spans="1:8">
      <c r="A23" s="5" t="s">
        <v>40</v>
      </c>
      <c r="B23" s="6">
        <v>-42925.16</v>
      </c>
      <c r="C23" s="6">
        <v>-51870.879999999997</v>
      </c>
      <c r="D23" s="6">
        <v>-42925.16</v>
      </c>
      <c r="E23" s="6">
        <v>-51870.879999999997</v>
      </c>
      <c r="F23" s="6">
        <v>43000</v>
      </c>
      <c r="G23" s="12">
        <f t="shared" si="0"/>
        <v>2.0017434996165417</v>
      </c>
      <c r="H23" s="5"/>
    </row>
    <row r="24" spans="1:8">
      <c r="A24" s="5" t="s">
        <v>41</v>
      </c>
      <c r="B24" s="6">
        <v>-7279.1</v>
      </c>
      <c r="C24" s="6">
        <v>-3391.8</v>
      </c>
      <c r="D24" s="6">
        <v>-7279.1</v>
      </c>
      <c r="E24" s="6">
        <v>-3391.8</v>
      </c>
      <c r="F24" s="6">
        <v>7500</v>
      </c>
      <c r="G24" s="12">
        <f t="shared" si="0"/>
        <v>2.0303471583025372</v>
      </c>
      <c r="H24" s="5"/>
    </row>
    <row r="25" spans="1:8">
      <c r="A25" s="5" t="s">
        <v>42</v>
      </c>
      <c r="B25" s="6">
        <v>-2713.31</v>
      </c>
      <c r="C25" s="6">
        <v>-5002.41</v>
      </c>
      <c r="D25" s="6">
        <v>-2713.31</v>
      </c>
      <c r="E25" s="6">
        <v>-5002.41</v>
      </c>
      <c r="F25" s="6">
        <v>0</v>
      </c>
      <c r="G25" s="12">
        <f t="shared" si="0"/>
        <v>1</v>
      </c>
      <c r="H25" s="5"/>
    </row>
    <row r="26" spans="1:8">
      <c r="A26" s="5" t="s">
        <v>43</v>
      </c>
      <c r="B26" s="6">
        <v>0</v>
      </c>
      <c r="C26" s="6">
        <v>-1050</v>
      </c>
      <c r="D26" s="6">
        <v>0</v>
      </c>
      <c r="E26" s="6">
        <v>-1050</v>
      </c>
      <c r="F26" s="6">
        <v>0</v>
      </c>
      <c r="G26" s="12" t="e">
        <f t="shared" si="0"/>
        <v>#DIV/0!</v>
      </c>
      <c r="H26" s="5"/>
    </row>
    <row r="27" spans="1:8">
      <c r="A27" s="5" t="s">
        <v>46</v>
      </c>
      <c r="B27" s="6">
        <v>-8991</v>
      </c>
      <c r="C27" s="6">
        <v>-18915</v>
      </c>
      <c r="D27" s="6">
        <v>-8991</v>
      </c>
      <c r="E27" s="6">
        <v>-18915</v>
      </c>
      <c r="F27" s="6">
        <v>110000</v>
      </c>
      <c r="G27" s="12">
        <f t="shared" si="0"/>
        <v>13.234456678901124</v>
      </c>
      <c r="H27" s="5" t="s">
        <v>106</v>
      </c>
    </row>
    <row r="28" spans="1:8">
      <c r="A28" s="5" t="s">
        <v>49</v>
      </c>
      <c r="B28" s="6">
        <v>-24277.5</v>
      </c>
      <c r="C28" s="6">
        <v>-20495.84</v>
      </c>
      <c r="D28" s="6">
        <v>-24277.5</v>
      </c>
      <c r="E28" s="6">
        <v>-20495.84</v>
      </c>
      <c r="F28" s="6">
        <v>180000</v>
      </c>
      <c r="G28" s="12">
        <f t="shared" si="0"/>
        <v>8.4142724745134387</v>
      </c>
      <c r="H28" s="5" t="s">
        <v>107</v>
      </c>
    </row>
    <row r="29" spans="1:8">
      <c r="A29" s="5" t="s">
        <v>50</v>
      </c>
      <c r="B29" s="6">
        <v>-4637.5</v>
      </c>
      <c r="C29" s="6">
        <v>-89245</v>
      </c>
      <c r="D29" s="6">
        <v>-4637.5</v>
      </c>
      <c r="E29" s="6">
        <v>-89245</v>
      </c>
      <c r="F29" s="6">
        <v>20000</v>
      </c>
      <c r="G29" s="12">
        <f t="shared" si="0"/>
        <v>5.3126684636118595</v>
      </c>
      <c r="H29" s="5"/>
    </row>
    <row r="30" spans="1:8">
      <c r="A30" s="5" t="s">
        <v>51</v>
      </c>
      <c r="B30" s="6">
        <v>-698</v>
      </c>
      <c r="C30" s="6">
        <v>-8416.67</v>
      </c>
      <c r="D30" s="6">
        <v>-698</v>
      </c>
      <c r="E30" s="6">
        <v>-8416.67</v>
      </c>
      <c r="F30" s="6">
        <v>1000</v>
      </c>
      <c r="G30" s="12">
        <f t="shared" si="0"/>
        <v>2.4326647564469912</v>
      </c>
      <c r="H30" s="5"/>
    </row>
    <row r="31" spans="1:8">
      <c r="A31" s="5" t="s">
        <v>54</v>
      </c>
      <c r="B31" s="6">
        <v>-75795.3</v>
      </c>
      <c r="C31" s="6">
        <v>-38431</v>
      </c>
      <c r="D31" s="6">
        <v>-75795.3</v>
      </c>
      <c r="E31" s="6">
        <v>-38431</v>
      </c>
      <c r="F31" s="6">
        <v>40000</v>
      </c>
      <c r="G31" s="12">
        <f t="shared" si="0"/>
        <v>1.5277372079799143</v>
      </c>
      <c r="H31" s="5"/>
    </row>
    <row r="32" spans="1:8">
      <c r="A32" s="5" t="s">
        <v>55</v>
      </c>
      <c r="B32" s="6">
        <v>-6044.42</v>
      </c>
      <c r="C32" s="6">
        <v>-8135.8</v>
      </c>
      <c r="D32" s="6">
        <v>-6044.42</v>
      </c>
      <c r="E32" s="6">
        <v>-8135.8</v>
      </c>
      <c r="F32" s="6">
        <v>8000</v>
      </c>
      <c r="G32" s="12">
        <f t="shared" si="0"/>
        <v>2.3235347642950028</v>
      </c>
      <c r="H32" s="5"/>
    </row>
    <row r="33" spans="1:8">
      <c r="A33" s="5" t="s">
        <v>58</v>
      </c>
      <c r="B33" s="6">
        <v>-0.26</v>
      </c>
      <c r="C33" s="6">
        <v>0.53</v>
      </c>
      <c r="D33" s="6">
        <v>-0.26</v>
      </c>
      <c r="E33" s="6">
        <v>0.53</v>
      </c>
      <c r="F33" s="6">
        <v>0</v>
      </c>
      <c r="G33" s="12">
        <f t="shared" si="0"/>
        <v>1</v>
      </c>
      <c r="H33" s="5"/>
    </row>
    <row r="34" spans="1:8">
      <c r="A34" s="5" t="s">
        <v>64</v>
      </c>
      <c r="B34" s="6">
        <v>-7642</v>
      </c>
      <c r="C34" s="6">
        <v>-18068</v>
      </c>
      <c r="D34" s="6">
        <v>-7642</v>
      </c>
      <c r="E34" s="6">
        <v>-18068</v>
      </c>
      <c r="F34" s="6">
        <v>8000</v>
      </c>
      <c r="G34" s="12">
        <f t="shared" si="0"/>
        <v>2.0468463752944257</v>
      </c>
      <c r="H34" s="5"/>
    </row>
    <row r="35" spans="1:8">
      <c r="A35" s="5" t="s">
        <v>68</v>
      </c>
      <c r="B35" s="6">
        <v>0</v>
      </c>
      <c r="C35" s="6">
        <v>-500</v>
      </c>
      <c r="D35" s="6">
        <v>0</v>
      </c>
      <c r="E35" s="6">
        <v>-500</v>
      </c>
      <c r="F35" s="6">
        <v>0</v>
      </c>
      <c r="G35" s="12" t="e">
        <f t="shared" si="0"/>
        <v>#DIV/0!</v>
      </c>
      <c r="H35" s="5"/>
    </row>
    <row r="36" spans="1:8">
      <c r="A36" s="5"/>
      <c r="B36" s="6">
        <v>-333051.49</v>
      </c>
      <c r="C36" s="6">
        <v>-407810.63</v>
      </c>
      <c r="D36" s="6">
        <v>-333051.49</v>
      </c>
      <c r="E36" s="6">
        <v>-407810.63</v>
      </c>
      <c r="F36" s="6"/>
      <c r="G36" s="12">
        <f t="shared" si="0"/>
        <v>1</v>
      </c>
      <c r="H36" s="5"/>
    </row>
    <row r="37" spans="1:8">
      <c r="B37" s="4"/>
      <c r="C37" s="4"/>
      <c r="D37" s="4"/>
      <c r="E37" s="4"/>
      <c r="G37" s="13"/>
    </row>
    <row r="38" spans="1:8">
      <c r="A38" s="5" t="s">
        <v>70</v>
      </c>
      <c r="B38" s="6">
        <v>-169401.4</v>
      </c>
      <c r="C38" s="6">
        <v>-271574.46999999997</v>
      </c>
      <c r="D38" s="6">
        <v>-169401.4</v>
      </c>
      <c r="E38" s="6">
        <v>-271574.46999999997</v>
      </c>
      <c r="F38" s="6">
        <f>SUM(F13:F16)-SUM(F19:F36)</f>
        <v>-394500</v>
      </c>
      <c r="G38" s="12">
        <f t="shared" si="0"/>
        <v>-1.3287883098959041</v>
      </c>
      <c r="H38" s="5"/>
    </row>
  </sheetData>
  <mergeCells count="2">
    <mergeCell ref="B9:E9"/>
    <mergeCell ref="F9:H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395C2-1402-4E54-B05B-B87DFF85B1D3}">
  <dimension ref="A1:H56"/>
  <sheetViews>
    <sheetView topLeftCell="A11" zoomScaleNormal="100" workbookViewId="0">
      <selection activeCell="H38" sqref="H38"/>
    </sheetView>
  </sheetViews>
  <sheetFormatPr defaultRowHeight="15"/>
  <cols>
    <col min="1" max="1" width="50.42578125" customWidth="1"/>
    <col min="2" max="5" width="15.7109375" bestFit="1" customWidth="1"/>
    <col min="6" max="6" width="15.140625" bestFit="1" customWidth="1"/>
    <col min="7" max="7" width="9.7109375" bestFit="1" customWidth="1"/>
    <col min="8" max="8" width="43.8554687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t="s">
        <v>108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0"/>
      <c r="H12" s="5"/>
    </row>
    <row r="13" spans="1:8">
      <c r="A13" s="5" t="s">
        <v>13</v>
      </c>
      <c r="B13" s="6">
        <v>77123.19</v>
      </c>
      <c r="C13" s="6">
        <v>47568.06</v>
      </c>
      <c r="D13" s="6">
        <v>77123.19</v>
      </c>
      <c r="E13" s="6">
        <v>47568.06</v>
      </c>
      <c r="F13" s="6">
        <v>85000</v>
      </c>
      <c r="G13" s="10">
        <f>(F13-B13)/ABS(B13)</f>
        <v>0.10213283449504613</v>
      </c>
      <c r="H13" s="5"/>
    </row>
    <row r="14" spans="1:8">
      <c r="A14" s="5" t="s">
        <v>18</v>
      </c>
      <c r="B14" s="6">
        <v>10500</v>
      </c>
      <c r="C14" s="6">
        <v>0</v>
      </c>
      <c r="D14" s="6">
        <v>10500</v>
      </c>
      <c r="E14" s="6">
        <v>0</v>
      </c>
      <c r="F14" s="6">
        <v>0</v>
      </c>
      <c r="G14" s="10">
        <f t="shared" ref="G14:G56" si="0">(F14-B14)/ABS(B14)</f>
        <v>-1</v>
      </c>
      <c r="H14" s="5"/>
    </row>
    <row r="15" spans="1:8">
      <c r="A15" s="5" t="s">
        <v>20</v>
      </c>
      <c r="B15" s="6">
        <v>91562</v>
      </c>
      <c r="C15" s="6">
        <v>112713</v>
      </c>
      <c r="D15" s="6">
        <v>91562</v>
      </c>
      <c r="E15" s="6">
        <v>112713</v>
      </c>
      <c r="F15" s="6">
        <v>92000</v>
      </c>
      <c r="G15" s="10">
        <f t="shared" si="0"/>
        <v>4.7836438697276161E-3</v>
      </c>
      <c r="H15" s="5"/>
    </row>
    <row r="16" spans="1:8">
      <c r="A16" s="5" t="s">
        <v>21</v>
      </c>
      <c r="B16" s="6">
        <v>862648.04</v>
      </c>
      <c r="C16" s="6">
        <v>797084.95</v>
      </c>
      <c r="D16" s="6">
        <v>862648.04</v>
      </c>
      <c r="E16" s="6">
        <v>797084.95</v>
      </c>
      <c r="F16" s="6">
        <v>870000</v>
      </c>
      <c r="G16" s="10">
        <f t="shared" si="0"/>
        <v>8.5225487789898219E-3</v>
      </c>
      <c r="H16" s="5"/>
    </row>
    <row r="17" spans="1:8">
      <c r="A17" s="5" t="s">
        <v>23</v>
      </c>
      <c r="B17" s="6">
        <v>74895.83</v>
      </c>
      <c r="C17" s="6">
        <v>73882.600000000006</v>
      </c>
      <c r="D17" s="6">
        <v>74895.83</v>
      </c>
      <c r="E17" s="6">
        <v>73882.600000000006</v>
      </c>
      <c r="F17" s="6">
        <v>75000</v>
      </c>
      <c r="G17" s="10">
        <f t="shared" si="0"/>
        <v>1.3908651523055189E-3</v>
      </c>
      <c r="H17" s="5"/>
    </row>
    <row r="18" spans="1:8">
      <c r="A18" s="5" t="s">
        <v>24</v>
      </c>
      <c r="B18" s="6">
        <v>0</v>
      </c>
      <c r="C18" s="6">
        <v>5</v>
      </c>
      <c r="D18" s="6">
        <v>0</v>
      </c>
      <c r="E18" s="6">
        <v>5</v>
      </c>
      <c r="F18" s="6"/>
      <c r="G18" s="10" t="e">
        <f t="shared" si="0"/>
        <v>#DIV/0!</v>
      </c>
      <c r="H18" s="5"/>
    </row>
    <row r="19" spans="1:8">
      <c r="A19" s="5"/>
      <c r="B19" s="6">
        <v>1116729.06</v>
      </c>
      <c r="C19" s="6">
        <v>1031253.61</v>
      </c>
      <c r="D19" s="6">
        <v>1116729.06</v>
      </c>
      <c r="E19" s="6">
        <v>1031253.61</v>
      </c>
      <c r="F19" s="6"/>
      <c r="G19" s="10">
        <f t="shared" si="0"/>
        <v>-1</v>
      </c>
      <c r="H19" s="5"/>
    </row>
    <row r="20" spans="1:8">
      <c r="B20" s="4"/>
      <c r="C20" s="4"/>
      <c r="D20" s="4"/>
      <c r="E20" s="4"/>
      <c r="G20" s="11"/>
    </row>
    <row r="21" spans="1:8">
      <c r="A21" s="5" t="s">
        <v>88</v>
      </c>
      <c r="B21" s="6"/>
      <c r="C21" s="6"/>
      <c r="D21" s="6"/>
      <c r="E21" s="6"/>
      <c r="F21" s="6"/>
      <c r="G21" s="10"/>
      <c r="H21" s="5"/>
    </row>
    <row r="22" spans="1:8">
      <c r="A22" s="5" t="s">
        <v>30</v>
      </c>
      <c r="B22" s="6">
        <v>-49814.1</v>
      </c>
      <c r="C22" s="6">
        <v>-39107.839999999997</v>
      </c>
      <c r="D22" s="6">
        <v>-49814.1</v>
      </c>
      <c r="E22" s="6">
        <v>-39107.839999999997</v>
      </c>
      <c r="F22" s="6">
        <v>55000</v>
      </c>
      <c r="G22" s="10">
        <f t="shared" si="0"/>
        <v>2.1041050626228319</v>
      </c>
      <c r="H22" s="5"/>
    </row>
    <row r="23" spans="1:8">
      <c r="A23" s="5" t="s">
        <v>31</v>
      </c>
      <c r="B23" s="6">
        <v>-18750</v>
      </c>
      <c r="C23" s="6">
        <v>0</v>
      </c>
      <c r="D23" s="6">
        <v>-18750</v>
      </c>
      <c r="E23" s="6">
        <v>0</v>
      </c>
      <c r="F23" s="6">
        <v>75000</v>
      </c>
      <c r="G23" s="10">
        <f t="shared" si="0"/>
        <v>5</v>
      </c>
      <c r="H23" s="5" t="s">
        <v>109</v>
      </c>
    </row>
    <row r="24" spans="1:8">
      <c r="A24" s="5" t="s">
        <v>32</v>
      </c>
      <c r="B24" s="6">
        <v>-10000</v>
      </c>
      <c r="C24" s="6">
        <v>-10000</v>
      </c>
      <c r="D24" s="6">
        <v>-10000</v>
      </c>
      <c r="E24" s="6">
        <v>-10000</v>
      </c>
      <c r="F24" s="6">
        <v>30000</v>
      </c>
      <c r="G24" s="10">
        <f t="shared" si="0"/>
        <v>4</v>
      </c>
      <c r="H24" s="5"/>
    </row>
    <row r="25" spans="1:8">
      <c r="A25" s="5" t="s">
        <v>35</v>
      </c>
      <c r="B25" s="6">
        <v>-12296.82</v>
      </c>
      <c r="C25" s="6">
        <v>-9833.2000000000007</v>
      </c>
      <c r="D25" s="6">
        <v>-12296.82</v>
      </c>
      <c r="E25" s="6">
        <v>-9833.2000000000007</v>
      </c>
      <c r="F25" s="6">
        <v>17000</v>
      </c>
      <c r="G25" s="10">
        <f t="shared" si="0"/>
        <v>2.3824712405321051</v>
      </c>
      <c r="H25" s="5"/>
    </row>
    <row r="26" spans="1:8">
      <c r="A26" s="5" t="s">
        <v>36</v>
      </c>
      <c r="B26" s="6">
        <v>0</v>
      </c>
      <c r="C26" s="6">
        <v>-11259</v>
      </c>
      <c r="D26" s="6">
        <v>0</v>
      </c>
      <c r="E26" s="6">
        <v>-11259</v>
      </c>
      <c r="F26" s="6">
        <v>0</v>
      </c>
      <c r="G26" s="10" t="e">
        <f t="shared" si="0"/>
        <v>#DIV/0!</v>
      </c>
      <c r="H26" s="5"/>
    </row>
    <row r="27" spans="1:8">
      <c r="A27" s="5" t="s">
        <v>37</v>
      </c>
      <c r="B27" s="6">
        <v>0</v>
      </c>
      <c r="C27" s="6">
        <v>-25033.05</v>
      </c>
      <c r="D27" s="6">
        <v>0</v>
      </c>
      <c r="E27" s="6">
        <v>-25033.05</v>
      </c>
      <c r="F27" s="6">
        <v>0</v>
      </c>
      <c r="G27" s="10" t="e">
        <f t="shared" si="0"/>
        <v>#DIV/0!</v>
      </c>
      <c r="H27" s="5"/>
    </row>
    <row r="28" spans="1:8">
      <c r="A28" s="5" t="s">
        <v>44</v>
      </c>
      <c r="B28" s="6">
        <v>-7905</v>
      </c>
      <c r="C28" s="6">
        <v>-29421.25</v>
      </c>
      <c r="D28" s="6">
        <v>-7905</v>
      </c>
      <c r="E28" s="6">
        <v>-29421.25</v>
      </c>
      <c r="F28" s="6">
        <v>8000</v>
      </c>
      <c r="G28" s="10">
        <f t="shared" si="0"/>
        <v>2.0120177103099306</v>
      </c>
      <c r="H28" s="5"/>
    </row>
    <row r="29" spans="1:8">
      <c r="A29" s="5" t="s">
        <v>46</v>
      </c>
      <c r="B29" s="6">
        <v>-7768.97</v>
      </c>
      <c r="C29" s="6">
        <v>-1099</v>
      </c>
      <c r="D29" s="6">
        <v>-7768.97</v>
      </c>
      <c r="E29" s="6">
        <v>-1099</v>
      </c>
      <c r="F29" s="6">
        <v>8000</v>
      </c>
      <c r="G29" s="10">
        <f t="shared" si="0"/>
        <v>2.029737532774615</v>
      </c>
      <c r="H29" s="5"/>
    </row>
    <row r="30" spans="1:8">
      <c r="A30" s="5" t="s">
        <v>52</v>
      </c>
      <c r="B30" s="6">
        <v>-11300</v>
      </c>
      <c r="C30" s="6">
        <v>-38589.879999999997</v>
      </c>
      <c r="D30" s="6">
        <v>-11300</v>
      </c>
      <c r="E30" s="6">
        <v>-38589.879999999997</v>
      </c>
      <c r="F30" s="6">
        <v>10000</v>
      </c>
      <c r="G30" s="10">
        <f t="shared" si="0"/>
        <v>1.8849557522123894</v>
      </c>
      <c r="H30" s="5"/>
    </row>
    <row r="31" spans="1:8">
      <c r="A31" s="5" t="s">
        <v>54</v>
      </c>
      <c r="B31" s="6">
        <v>0</v>
      </c>
      <c r="C31" s="6">
        <v>-1628</v>
      </c>
      <c r="D31" s="6">
        <v>0</v>
      </c>
      <c r="E31" s="6">
        <v>-1628</v>
      </c>
      <c r="F31" s="6">
        <v>0</v>
      </c>
      <c r="G31" s="10" t="e">
        <f t="shared" si="0"/>
        <v>#DIV/0!</v>
      </c>
      <c r="H31" s="5"/>
    </row>
    <row r="32" spans="1:8">
      <c r="A32" s="5" t="s">
        <v>57</v>
      </c>
      <c r="B32" s="6">
        <v>-2954</v>
      </c>
      <c r="C32" s="6">
        <v>-1088</v>
      </c>
      <c r="D32" s="6">
        <v>-2954</v>
      </c>
      <c r="E32" s="6">
        <v>-1088</v>
      </c>
      <c r="F32" s="6">
        <v>0</v>
      </c>
      <c r="G32" s="10">
        <f t="shared" si="0"/>
        <v>1</v>
      </c>
      <c r="H32" s="5"/>
    </row>
    <row r="33" spans="1:8">
      <c r="A33" s="5" t="s">
        <v>60</v>
      </c>
      <c r="B33" s="6">
        <v>0</v>
      </c>
      <c r="C33" s="6">
        <v>-2000</v>
      </c>
      <c r="D33" s="6">
        <v>0</v>
      </c>
      <c r="E33" s="6">
        <v>-2000</v>
      </c>
      <c r="F33" s="6">
        <v>0</v>
      </c>
      <c r="G33" s="10" t="e">
        <f t="shared" si="0"/>
        <v>#DIV/0!</v>
      </c>
      <c r="H33" s="5"/>
    </row>
    <row r="34" spans="1:8">
      <c r="A34" s="5" t="s">
        <v>61</v>
      </c>
      <c r="B34" s="6">
        <v>-11000</v>
      </c>
      <c r="C34" s="6">
        <v>0</v>
      </c>
      <c r="D34" s="6">
        <v>-11000</v>
      </c>
      <c r="E34" s="6">
        <v>0</v>
      </c>
      <c r="F34" s="6">
        <v>0</v>
      </c>
      <c r="G34" s="10">
        <f t="shared" si="0"/>
        <v>1</v>
      </c>
      <c r="H34" s="5"/>
    </row>
    <row r="35" spans="1:8">
      <c r="A35" s="5" t="s">
        <v>62</v>
      </c>
      <c r="B35" s="6">
        <v>-82364.240000000005</v>
      </c>
      <c r="C35" s="6">
        <v>0</v>
      </c>
      <c r="D35" s="6">
        <v>-82364.240000000005</v>
      </c>
      <c r="E35" s="6">
        <v>0</v>
      </c>
      <c r="F35" s="6">
        <v>115000</v>
      </c>
      <c r="G35" s="10">
        <f t="shared" si="0"/>
        <v>2.3962370077111133</v>
      </c>
      <c r="H35" s="5"/>
    </row>
    <row r="36" spans="1:8">
      <c r="A36" s="5" t="s">
        <v>63</v>
      </c>
      <c r="B36" s="6">
        <v>-1015</v>
      </c>
      <c r="C36" s="6">
        <v>0</v>
      </c>
      <c r="D36" s="6">
        <v>-1015</v>
      </c>
      <c r="E36" s="6">
        <v>0</v>
      </c>
      <c r="F36" s="6">
        <v>0</v>
      </c>
      <c r="G36" s="10">
        <f t="shared" si="0"/>
        <v>1</v>
      </c>
      <c r="H36" s="5"/>
    </row>
    <row r="37" spans="1:8">
      <c r="A37" s="5" t="s">
        <v>65</v>
      </c>
      <c r="B37" s="6">
        <v>-0.3</v>
      </c>
      <c r="C37" s="6">
        <v>0</v>
      </c>
      <c r="D37" s="6">
        <v>-0.3</v>
      </c>
      <c r="E37" s="6">
        <v>0</v>
      </c>
      <c r="F37" s="6">
        <v>0</v>
      </c>
      <c r="G37" s="10">
        <f t="shared" si="0"/>
        <v>1</v>
      </c>
      <c r="H37" s="5"/>
    </row>
    <row r="38" spans="1:8">
      <c r="A38" s="5" t="s">
        <v>66</v>
      </c>
      <c r="B38" s="6">
        <v>-7</v>
      </c>
      <c r="C38" s="6">
        <v>-554</v>
      </c>
      <c r="D38" s="6">
        <v>-7</v>
      </c>
      <c r="E38" s="6">
        <v>-554</v>
      </c>
      <c r="F38" s="6"/>
      <c r="G38" s="10">
        <f t="shared" si="0"/>
        <v>1</v>
      </c>
      <c r="H38" s="5"/>
    </row>
    <row r="39" spans="1:8">
      <c r="A39" s="5" t="s">
        <v>67</v>
      </c>
      <c r="B39" s="6">
        <v>-200</v>
      </c>
      <c r="C39" s="6">
        <v>0</v>
      </c>
      <c r="D39" s="6">
        <v>-200</v>
      </c>
      <c r="E39" s="6">
        <v>0</v>
      </c>
      <c r="F39" s="6">
        <v>0</v>
      </c>
      <c r="G39" s="10">
        <f t="shared" si="0"/>
        <v>1</v>
      </c>
      <c r="H39" s="5"/>
    </row>
    <row r="40" spans="1:8">
      <c r="A40" s="5"/>
      <c r="B40" s="6">
        <v>-215375.43</v>
      </c>
      <c r="C40" s="6">
        <v>-169613.22</v>
      </c>
      <c r="D40" s="6">
        <v>-215375.43</v>
      </c>
      <c r="E40" s="6">
        <v>-169613.22</v>
      </c>
      <c r="F40" s="6"/>
      <c r="G40" s="10">
        <f t="shared" si="0"/>
        <v>1</v>
      </c>
      <c r="H40" s="5"/>
    </row>
    <row r="41" spans="1:8">
      <c r="B41" s="4"/>
      <c r="C41" s="4"/>
      <c r="D41" s="4"/>
      <c r="E41" s="4"/>
      <c r="G41" s="11"/>
    </row>
    <row r="42" spans="1:8">
      <c r="A42" s="5" t="s">
        <v>70</v>
      </c>
      <c r="B42" s="6">
        <v>901353.63</v>
      </c>
      <c r="C42" s="6">
        <v>861640.39</v>
      </c>
      <c r="D42" s="6">
        <v>901353.63</v>
      </c>
      <c r="E42" s="6">
        <v>861640.39</v>
      </c>
      <c r="F42" s="6">
        <f>SUM(F13:F19)-SUM(F22:F40)</f>
        <v>804000</v>
      </c>
      <c r="G42" s="10">
        <f t="shared" si="0"/>
        <v>-0.10800825198873389</v>
      </c>
      <c r="H42" s="5"/>
    </row>
    <row r="43" spans="1:8">
      <c r="B43" s="4"/>
      <c r="C43" s="4"/>
      <c r="D43" s="4"/>
      <c r="E43" s="4"/>
      <c r="G43" s="11"/>
    </row>
    <row r="44" spans="1:8">
      <c r="A44" s="5" t="s">
        <v>71</v>
      </c>
      <c r="B44" s="6"/>
      <c r="C44" s="6"/>
      <c r="D44" s="6"/>
      <c r="E44" s="6"/>
      <c r="F44" s="6"/>
      <c r="G44" s="10"/>
      <c r="H44" s="5"/>
    </row>
    <row r="45" spans="1:8">
      <c r="A45" s="5" t="s">
        <v>72</v>
      </c>
      <c r="B45" s="6">
        <v>0</v>
      </c>
      <c r="C45" s="6">
        <v>191383</v>
      </c>
      <c r="D45" s="6">
        <v>0</v>
      </c>
      <c r="E45" s="6">
        <v>191383</v>
      </c>
      <c r="F45" s="6"/>
      <c r="G45" s="10" t="e">
        <f t="shared" si="0"/>
        <v>#DIV/0!</v>
      </c>
      <c r="H45" s="5"/>
    </row>
    <row r="46" spans="1:8">
      <c r="A46" s="5" t="s">
        <v>73</v>
      </c>
      <c r="B46" s="6">
        <v>217226</v>
      </c>
      <c r="C46" s="6">
        <v>506</v>
      </c>
      <c r="D46" s="6">
        <v>217226</v>
      </c>
      <c r="E46" s="6">
        <v>506</v>
      </c>
      <c r="F46" s="6">
        <v>230000</v>
      </c>
      <c r="G46" s="10">
        <f t="shared" si="0"/>
        <v>5.880511540975758E-2</v>
      </c>
      <c r="H46" s="5"/>
    </row>
    <row r="47" spans="1:8">
      <c r="A47" s="5"/>
      <c r="B47" s="6">
        <v>217226</v>
      </c>
      <c r="C47" s="6">
        <v>191889</v>
      </c>
      <c r="D47" s="6">
        <v>217226</v>
      </c>
      <c r="E47" s="6">
        <v>191889</v>
      </c>
      <c r="F47" s="6"/>
      <c r="G47" s="10">
        <f t="shared" si="0"/>
        <v>-1</v>
      </c>
      <c r="H47" s="5"/>
    </row>
    <row r="48" spans="1:8">
      <c r="B48" s="4"/>
      <c r="C48" s="4"/>
      <c r="D48" s="4"/>
      <c r="E48" s="4"/>
      <c r="G48" s="11"/>
    </row>
    <row r="49" spans="1:8">
      <c r="A49" s="5" t="s">
        <v>102</v>
      </c>
      <c r="B49" s="6">
        <v>1118579.6299999999</v>
      </c>
      <c r="C49" s="6">
        <v>1053529.3899999999</v>
      </c>
      <c r="D49" s="6">
        <v>1118579.6299999999</v>
      </c>
      <c r="E49" s="6">
        <v>1053529.3899999999</v>
      </c>
      <c r="F49" s="6"/>
      <c r="G49" s="10">
        <f t="shared" si="0"/>
        <v>-1</v>
      </c>
      <c r="H49" s="5"/>
    </row>
    <row r="50" spans="1:8">
      <c r="B50" s="4"/>
      <c r="C50" s="4"/>
      <c r="D50" s="4"/>
      <c r="E50" s="4"/>
      <c r="G50" s="11"/>
    </row>
    <row r="51" spans="1:8">
      <c r="A51" s="5" t="s">
        <v>103</v>
      </c>
      <c r="B51" s="6">
        <v>1118579.6299999999</v>
      </c>
      <c r="C51" s="6">
        <v>1053529.3899999999</v>
      </c>
      <c r="D51" s="6">
        <v>1118579.6299999999</v>
      </c>
      <c r="E51" s="6">
        <v>1053529.3899999999</v>
      </c>
      <c r="F51" s="6">
        <f>F42+F46</f>
        <v>1034000</v>
      </c>
      <c r="G51" s="10">
        <f t="shared" si="0"/>
        <v>-7.5613418778241029E-2</v>
      </c>
      <c r="H51" s="5"/>
    </row>
    <row r="52" spans="1:8">
      <c r="B52" s="4"/>
      <c r="C52" s="4"/>
      <c r="D52" s="4"/>
      <c r="E52" s="4"/>
      <c r="G52" s="11"/>
    </row>
    <row r="53" spans="1:8">
      <c r="A53" s="5" t="s">
        <v>104</v>
      </c>
      <c r="B53" s="6">
        <v>1118579.6299999999</v>
      </c>
      <c r="C53" s="6">
        <v>1053529.3899999999</v>
      </c>
      <c r="D53" s="6">
        <v>1118579.6299999999</v>
      </c>
      <c r="E53" s="6">
        <v>1053529.3899999999</v>
      </c>
      <c r="F53" s="6">
        <f>F51</f>
        <v>1034000</v>
      </c>
      <c r="G53" s="10">
        <f t="shared" si="0"/>
        <v>-7.5613418778241029E-2</v>
      </c>
      <c r="H53" s="5"/>
    </row>
    <row r="54" spans="1:8">
      <c r="B54" s="4"/>
      <c r="C54" s="4"/>
      <c r="D54" s="4"/>
      <c r="E54" s="4"/>
      <c r="G54" s="11"/>
    </row>
    <row r="55" spans="1:8">
      <c r="A55" s="5" t="s">
        <v>110</v>
      </c>
      <c r="B55" s="6"/>
      <c r="C55" s="6"/>
      <c r="D55" s="6"/>
      <c r="E55" s="6"/>
      <c r="F55" s="6"/>
      <c r="G55" s="10" t="e">
        <f t="shared" si="0"/>
        <v>#DIV/0!</v>
      </c>
      <c r="H55" s="5"/>
    </row>
    <row r="56" spans="1:8">
      <c r="A56" s="5" t="s">
        <v>111</v>
      </c>
      <c r="B56" s="6">
        <v>0</v>
      </c>
      <c r="C56" s="6">
        <v>-1053529.3899999999</v>
      </c>
      <c r="D56" s="6">
        <v>0</v>
      </c>
      <c r="E56" s="6">
        <v>-1053529.3899999999</v>
      </c>
      <c r="F56" s="6"/>
      <c r="G56" s="10" t="e">
        <f t="shared" si="0"/>
        <v>#DIV/0!</v>
      </c>
      <c r="H56" s="5"/>
    </row>
  </sheetData>
  <mergeCells count="2">
    <mergeCell ref="B9:E9"/>
    <mergeCell ref="F9:H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0595A-3C4F-4A98-BAA9-6F06FD339AE6}">
  <dimension ref="A2:N68"/>
  <sheetViews>
    <sheetView topLeftCell="A32" workbookViewId="0">
      <selection activeCell="G60" sqref="G60"/>
    </sheetView>
  </sheetViews>
  <sheetFormatPr defaultColWidth="10.85546875" defaultRowHeight="15"/>
  <cols>
    <col min="1" max="1" width="54" customWidth="1"/>
    <col min="2" max="2" width="13.85546875" bestFit="1" customWidth="1"/>
    <col min="3" max="3" width="12.85546875" bestFit="1" customWidth="1"/>
    <col min="4" max="6" width="11.85546875" bestFit="1" customWidth="1"/>
    <col min="7" max="7" width="12.85546875" bestFit="1" customWidth="1"/>
    <col min="8" max="8" width="11.140625" bestFit="1" customWidth="1"/>
    <col min="9" max="10" width="11.85546875" bestFit="1" customWidth="1"/>
    <col min="11" max="12" width="12.85546875" bestFit="1" customWidth="1"/>
    <col min="14" max="14" width="97.7109375" bestFit="1" customWidth="1"/>
  </cols>
  <sheetData>
    <row r="2" spans="1:14">
      <c r="B2" s="21" t="s">
        <v>0</v>
      </c>
      <c r="C2" s="22" t="s">
        <v>1</v>
      </c>
      <c r="D2" s="22" t="s">
        <v>2</v>
      </c>
      <c r="E2" s="22" t="s">
        <v>3</v>
      </c>
      <c r="F2" s="22" t="s">
        <v>4</v>
      </c>
      <c r="G2" s="22" t="s">
        <v>5</v>
      </c>
      <c r="H2" s="22" t="s">
        <v>6</v>
      </c>
      <c r="I2" s="22" t="s">
        <v>7</v>
      </c>
      <c r="J2" s="22" t="s">
        <v>8</v>
      </c>
      <c r="K2" s="22" t="s">
        <v>9</v>
      </c>
      <c r="L2" s="22" t="s">
        <v>10</v>
      </c>
      <c r="N2" s="24" t="s">
        <v>11</v>
      </c>
    </row>
    <row r="3" spans="1:14">
      <c r="A3" s="14" t="s">
        <v>12</v>
      </c>
      <c r="B3" s="21"/>
      <c r="C3" s="23"/>
      <c r="D3" s="23"/>
      <c r="E3" s="23"/>
      <c r="F3" s="23"/>
      <c r="G3" s="23"/>
      <c r="H3" s="23"/>
      <c r="I3" s="23"/>
      <c r="J3" s="23"/>
      <c r="K3" s="23"/>
      <c r="L3" s="23"/>
      <c r="N3" s="25"/>
    </row>
    <row r="4" spans="1:14">
      <c r="A4" s="5" t="s">
        <v>13</v>
      </c>
      <c r="B4" s="8">
        <f>SUM(C4:L4)</f>
        <v>80000</v>
      </c>
      <c r="C4" s="8">
        <f>_xlfn.XLOOKUP(A4,[1]Skigruppa!$A$4:$A$10,[1]Skigruppa!$C$4:$C$10,0)</f>
        <v>30000</v>
      </c>
      <c r="D4" s="8">
        <f>_xlfn.XLOOKUP(A4,[1]Junior!$A$4:$A$5,[1]Junior!$C$4:$C$5,0)</f>
        <v>0</v>
      </c>
      <c r="E4" s="8">
        <f>_xlfn.XLOOKUP(A4,[1]Damer!$A$4:$A$5,[1]Damer!$C$4:$C$5,0)</f>
        <v>0</v>
      </c>
      <c r="F4" s="8">
        <f>_xlfn.XLOOKUP(A4,'[1]Leirsund 2'!$A$4:$A$6,'[1]Leirsund 2'!$C$4:$C$6,0)</f>
        <v>0</v>
      </c>
      <c r="G4" s="8">
        <f>_xlfn.XLOOKUP(A4,'[1]A-lag'!$A$4:$A$6,'[1]A-lag'!$C$4:$C$6,0)</f>
        <v>0</v>
      </c>
      <c r="H4" s="8">
        <f>_xlfn.XLOOKUP(A4,[1]Svømming!$A$4:$A$5,[1]Svømming!$C$4:$C$5,0)</f>
        <v>0</v>
      </c>
      <c r="I4" s="8">
        <f>_xlfn.XLOOKUP(A4,[1]eSport!$A$4:$A$5,[1]eSport!$C$4:$C$5,0)</f>
        <v>0</v>
      </c>
      <c r="J4" s="8">
        <f>_xlfn.XLOOKUP(A4,[1]Futsal!$A$4:$A$5,[1]Futsal!$C$4:$C$5,0)</f>
        <v>0</v>
      </c>
      <c r="K4" s="8">
        <f>_xlfn.XLOOKUP(A4,[1]Drift!$A$4:$A$7,[1]Drift!$C$4:$C$7,0)</f>
        <v>0</v>
      </c>
      <c r="L4" s="8">
        <f>_xlfn.XLOOKUP(A4,[1]Adm!$A$4:$A$9,[1]Adm!$C$4:$C$9,0)</f>
        <v>50000</v>
      </c>
      <c r="N4" s="5" t="s">
        <v>112</v>
      </c>
    </row>
    <row r="5" spans="1:14">
      <c r="A5" s="5" t="s">
        <v>15</v>
      </c>
      <c r="B5" s="8">
        <f t="shared" ref="B5:B15" si="0">SUM(C5:L5)</f>
        <v>148500</v>
      </c>
      <c r="C5" s="8">
        <f>_xlfn.XLOOKUP(A5,[1]Skigruppa!$A$4:$A$10,[1]Skigruppa!$C$4:$C$10,0)</f>
        <v>80000</v>
      </c>
      <c r="D5" s="8">
        <f>_xlfn.XLOOKUP(A5,[1]Junior!$A$4:$A$5,[1]Junior!$C$4:$C$5,0)</f>
        <v>0</v>
      </c>
      <c r="E5" s="8">
        <f>_xlfn.XLOOKUP(A5,[1]Damer!$A$4:$A$5,[1]Damer!$C$4:$C$5,0)</f>
        <v>0</v>
      </c>
      <c r="F5" s="8">
        <f>_xlfn.XLOOKUP(A5,'[1]Leirsund 2'!$A$4:$A$6,'[1]Leirsund 2'!$C$4:$C$6,0)</f>
        <v>18500</v>
      </c>
      <c r="G5" s="8">
        <f>_xlfn.XLOOKUP(A5,'[1]A-lag'!$A$4:$A$6,'[1]A-lag'!$C$4:$C$6,0)</f>
        <v>50000</v>
      </c>
      <c r="H5" s="8">
        <f>_xlfn.XLOOKUP(A5,[1]Svømming!$A$4:$A$5,[1]Svømming!$C$4:$C$5,0)</f>
        <v>0</v>
      </c>
      <c r="I5" s="8">
        <f>_xlfn.XLOOKUP(A5,[1]eSport!$A$4:$A$5,[1]eSport!$C$4:$C$5,0)</f>
        <v>0</v>
      </c>
      <c r="J5" s="8">
        <f>_xlfn.XLOOKUP(A5,[1]Futsal!$A$4:$A$5,[1]Futsal!$C$4:$C$5,0)</f>
        <v>0</v>
      </c>
      <c r="K5" s="8">
        <f>_xlfn.XLOOKUP(A5,[1]Drift!$A$4:$A$7,[1]Drift!$C$4:$C$7,0)</f>
        <v>0</v>
      </c>
      <c r="L5" s="8">
        <f>_xlfn.XLOOKUP(A5,[1]Adm!$A$4:$A$9,[1]Adm!$C$4:$C$9,0)</f>
        <v>0</v>
      </c>
      <c r="N5" s="5" t="s">
        <v>113</v>
      </c>
    </row>
    <row r="6" spans="1:14">
      <c r="A6" s="5" t="s">
        <v>16</v>
      </c>
      <c r="B6" s="8">
        <f t="shared" si="0"/>
        <v>64000</v>
      </c>
      <c r="C6" s="8">
        <f>_xlfn.XLOOKUP(A6,[1]Skigruppa!$A$4:$A$10,[1]Skigruppa!$C$4:$C$10,0)</f>
        <v>0</v>
      </c>
      <c r="D6" s="8">
        <f>_xlfn.XLOOKUP(A6,[1]Junior!$A$4:$A$5,[1]Junior!$C$4:$C$5,0)</f>
        <v>0</v>
      </c>
      <c r="E6" s="8">
        <f>_xlfn.XLOOKUP(A6,[1]Damer!$A$4:$A$5,[1]Damer!$C$4:$C$5,0)</f>
        <v>0</v>
      </c>
      <c r="F6" s="8">
        <f>_xlfn.XLOOKUP(A6,'[1]Leirsund 2'!$A$4:$A$6,'[1]Leirsund 2'!$C$4:$C$6,0)</f>
        <v>0</v>
      </c>
      <c r="G6" s="8">
        <f>_xlfn.XLOOKUP(A6,'[1]A-lag'!$A$4:$A$6,'[1]A-lag'!$C$4:$C$6,0)</f>
        <v>0</v>
      </c>
      <c r="H6" s="8">
        <f>_xlfn.XLOOKUP(A6,[1]Svømming!$A$4:$A$5,[1]Svømming!$C$4:$C$5,0)</f>
        <v>0</v>
      </c>
      <c r="I6" s="8">
        <f>_xlfn.XLOOKUP(A6,[1]eSport!$A$4:$A$5,[1]eSport!$C$4:$C$5,0)</f>
        <v>0</v>
      </c>
      <c r="J6" s="8">
        <f>_xlfn.XLOOKUP(A6,[1]Futsal!$A$4:$A$5,[1]Futsal!$C$4:$C$5,0)</f>
        <v>0</v>
      </c>
      <c r="K6" s="8">
        <f>_xlfn.XLOOKUP(A6,[1]Drift!$A$4:$A$7,[1]Drift!$C$4:$C$7,0)</f>
        <v>64000</v>
      </c>
      <c r="L6" s="8">
        <f>_xlfn.XLOOKUP(A6,[1]Adm!$A$4:$A$9,[1]Adm!$C$4:$C$9,0)</f>
        <v>0</v>
      </c>
      <c r="N6" s="5" t="s">
        <v>114</v>
      </c>
    </row>
    <row r="7" spans="1:14">
      <c r="A7" s="5" t="s">
        <v>17</v>
      </c>
      <c r="B7" s="8">
        <f t="shared" si="0"/>
        <v>0</v>
      </c>
      <c r="C7" s="8">
        <f>_xlfn.XLOOKUP(A7,[1]Skigruppa!$A$4:$A$10,[1]Skigruppa!$C$4:$C$10,0)</f>
        <v>0</v>
      </c>
      <c r="D7" s="8">
        <f>_xlfn.XLOOKUP(A7,[1]Junior!$A$4:$A$5,[1]Junior!$C$4:$C$5,0)</f>
        <v>0</v>
      </c>
      <c r="E7" s="8">
        <f>_xlfn.XLOOKUP(A7,[1]Damer!$A$4:$A$5,[1]Damer!$C$4:$C$5,0)</f>
        <v>0</v>
      </c>
      <c r="F7" s="8">
        <f>_xlfn.XLOOKUP(A7,'[1]Leirsund 2'!$A$4:$A$6,'[1]Leirsund 2'!$C$4:$C$6,0)</f>
        <v>0</v>
      </c>
      <c r="G7" s="8">
        <f>_xlfn.XLOOKUP(A7,'[1]A-lag'!$A$4:$A$6,'[1]A-lag'!$C$4:$C$6,0)</f>
        <v>0</v>
      </c>
      <c r="H7" s="8">
        <f>_xlfn.XLOOKUP(A7,[1]Svømming!$A$4:$A$5,[1]Svømming!$C$4:$C$5,0)</f>
        <v>0</v>
      </c>
      <c r="I7" s="8">
        <f>_xlfn.XLOOKUP(A7,[1]eSport!$A$4:$A$5,[1]eSport!$C$4:$C$5,0)</f>
        <v>0</v>
      </c>
      <c r="J7" s="8">
        <f>_xlfn.XLOOKUP(A7,[1]Futsal!$A$4:$A$5,[1]Futsal!$C$4:$C$5,0)</f>
        <v>0</v>
      </c>
      <c r="K7" s="8">
        <f>_xlfn.XLOOKUP(A7,[1]Drift!$A$4:$A$7,[1]Drift!$C$4:$C$7,0)</f>
        <v>0</v>
      </c>
      <c r="L7" s="8">
        <f>_xlfn.XLOOKUP(A7,[1]Adm!$A$4:$A$9,[1]Adm!$C$4:$C$9,0)</f>
        <v>0</v>
      </c>
      <c r="N7" s="5" t="s">
        <v>115</v>
      </c>
    </row>
    <row r="8" spans="1:14">
      <c r="A8" s="5" t="s">
        <v>18</v>
      </c>
      <c r="B8" s="8">
        <f t="shared" si="0"/>
        <v>65000</v>
      </c>
      <c r="C8" s="8">
        <f>_xlfn.XLOOKUP(A8,[1]Skigruppa!$A$4:$A$10,[1]Skigruppa!$C$4:$C$10,0)</f>
        <v>0</v>
      </c>
      <c r="D8" s="8">
        <f>_xlfn.XLOOKUP(A8,[1]Junior!$A$4:$A$5,[1]Junior!$C$4:$C$5,0)</f>
        <v>0</v>
      </c>
      <c r="E8" s="8">
        <f>_xlfn.XLOOKUP(A8,[1]Damer!$A$4:$A$5,[1]Damer!$C$4:$C$5,0)</f>
        <v>0</v>
      </c>
      <c r="F8" s="8">
        <f>_xlfn.XLOOKUP(A8,'[1]Leirsund 2'!$A$4:$A$6,'[1]Leirsund 2'!$C$4:$C$6,0)</f>
        <v>0</v>
      </c>
      <c r="G8" s="8">
        <f>_xlfn.XLOOKUP(A8,'[1]A-lag'!$A$4:$A$6,'[1]A-lag'!$C$4:$C$6,0)</f>
        <v>0</v>
      </c>
      <c r="H8" s="8">
        <f>_xlfn.XLOOKUP(A8,[1]Svømming!$A$4:$A$5,[1]Svømming!$C$4:$C$5,0)</f>
        <v>0</v>
      </c>
      <c r="I8" s="8">
        <f>_xlfn.XLOOKUP(A8,[1]eSport!$A$4:$A$5,[1]eSport!$C$4:$C$5,0)</f>
        <v>0</v>
      </c>
      <c r="J8" s="8">
        <f>_xlfn.XLOOKUP(A8,[1]Futsal!$A$4:$A$5,[1]Futsal!$C$4:$C$5,0)</f>
        <v>0</v>
      </c>
      <c r="K8" s="8">
        <f>_xlfn.XLOOKUP(A8,[1]Drift!$A$4:$A$7,[1]Drift!$C$4:$C$7,0)</f>
        <v>65000</v>
      </c>
      <c r="L8" s="8">
        <f>_xlfn.XLOOKUP(A8,[1]Adm!$A$4:$A$9,[1]Adm!$C$4:$C$9,0)</f>
        <v>0</v>
      </c>
      <c r="N8" s="5" t="s">
        <v>116</v>
      </c>
    </row>
    <row r="9" spans="1:14">
      <c r="A9" s="5" t="s">
        <v>19</v>
      </c>
      <c r="B9" s="8">
        <f t="shared" si="0"/>
        <v>13000</v>
      </c>
      <c r="C9" s="8">
        <f>_xlfn.XLOOKUP(A9,[1]Skigruppa!$A$4:$A$10,[1]Skigruppa!$C$4:$C$10,0)</f>
        <v>0</v>
      </c>
      <c r="D9" s="8">
        <f>_xlfn.XLOOKUP(A9,[1]Junior!$A$4:$A$5,[1]Junior!$C$4:$C$5,0)</f>
        <v>0</v>
      </c>
      <c r="E9" s="8">
        <f>_xlfn.XLOOKUP(A9,[1]Damer!$A$4:$A$5,[1]Damer!$C$4:$C$5,0)</f>
        <v>0</v>
      </c>
      <c r="F9" s="8">
        <f>_xlfn.XLOOKUP(A9,'[1]Leirsund 2'!$A$4:$A$6,'[1]Leirsund 2'!$C$4:$C$6,0)</f>
        <v>0</v>
      </c>
      <c r="G9" s="8">
        <f>_xlfn.XLOOKUP(A9,'[1]A-lag'!$A$4:$A$6,'[1]A-lag'!$C$4:$C$6,0)</f>
        <v>0</v>
      </c>
      <c r="H9" s="8">
        <f>_xlfn.XLOOKUP(A9,[1]Svømming!$A$4:$A$5,[1]Svømming!$C$4:$C$5,0)</f>
        <v>13000</v>
      </c>
      <c r="I9" s="8">
        <f>_xlfn.XLOOKUP(A9,[1]eSport!$A$4:$A$5,[1]eSport!$C$4:$C$5,0)</f>
        <v>0</v>
      </c>
      <c r="J9" s="8">
        <f>_xlfn.XLOOKUP(A9,[1]Futsal!$A$4:$A$5,[1]Futsal!$C$4:$C$5,0)</f>
        <v>0</v>
      </c>
      <c r="K9" s="8">
        <f>_xlfn.XLOOKUP(A9,[1]Drift!$A$4:$A$7,[1]Drift!$C$4:$C$7,0)</f>
        <v>0</v>
      </c>
      <c r="L9" s="8">
        <f>_xlfn.XLOOKUP(A9,[1]Adm!$A$4:$A$9,[1]Adm!$C$4:$C$9,0)</f>
        <v>0</v>
      </c>
      <c r="N9" s="5" t="s">
        <v>117</v>
      </c>
    </row>
    <row r="10" spans="1:14">
      <c r="A10" s="5" t="s">
        <v>20</v>
      </c>
      <c r="B10" s="8">
        <f t="shared" si="0"/>
        <v>200000</v>
      </c>
      <c r="C10" s="8">
        <f>_xlfn.XLOOKUP(A10,[1]Skigruppa!$A$4:$A$10,[1]Skigruppa!$C$4:$C$10,0)</f>
        <v>0</v>
      </c>
      <c r="D10" s="8">
        <f>_xlfn.XLOOKUP(A10,[1]Junior!$A$4:$A$5,[1]Junior!$C$4:$C$5,0)</f>
        <v>0</v>
      </c>
      <c r="E10" s="8">
        <f>_xlfn.XLOOKUP(A10,[1]Damer!$A$4:$A$5,[1]Damer!$C$4:$C$5,0)</f>
        <v>0</v>
      </c>
      <c r="F10" s="8">
        <f>_xlfn.XLOOKUP(A10,'[1]Leirsund 2'!$A$4:$A$6,'[1]Leirsund 2'!$C$4:$C$6,0)</f>
        <v>0</v>
      </c>
      <c r="G10" s="8">
        <f>_xlfn.XLOOKUP(A10,'[1]A-lag'!$A$4:$A$6,'[1]A-lag'!$C$4:$C$6,0)</f>
        <v>0</v>
      </c>
      <c r="H10" s="8">
        <f>_xlfn.XLOOKUP(A10,[1]Svømming!$A$4:$A$5,[1]Svømming!$C$4:$C$5,0)</f>
        <v>0</v>
      </c>
      <c r="I10" s="8">
        <f>_xlfn.XLOOKUP(A10,[1]eSport!$A$4:$A$5,[1]eSport!$C$4:$C$5,0)</f>
        <v>0</v>
      </c>
      <c r="J10" s="8">
        <f>_xlfn.XLOOKUP(A10,[1]Futsal!$A$4:$A$5,[1]Futsal!$C$4:$C$5,0)</f>
        <v>0</v>
      </c>
      <c r="K10" s="8">
        <f>_xlfn.XLOOKUP(A10,[1]Drift!$A$4:$A$7,[1]Drift!$C$4:$C$7,0)</f>
        <v>0</v>
      </c>
      <c r="L10" s="8">
        <f>_xlfn.XLOOKUP(A10,[1]Adm!$A$4:$A$9,[1]Adm!$C$4:$C$9,0)</f>
        <v>200000</v>
      </c>
      <c r="N10" s="5" t="s">
        <v>118</v>
      </c>
    </row>
    <row r="11" spans="1:14">
      <c r="A11" s="5" t="s">
        <v>21</v>
      </c>
      <c r="B11" s="8">
        <f t="shared" si="0"/>
        <v>440000</v>
      </c>
      <c r="C11" s="8">
        <f>_xlfn.XLOOKUP(A11,[1]Skigruppa!$A$4:$A$10,[1]Skigruppa!$C$4:$C$10,0)</f>
        <v>40000</v>
      </c>
      <c r="D11" s="8">
        <f>_xlfn.XLOOKUP(A11,[1]Junior!$A$4:$A$5,[1]Junior!$C$4:$C$5,0)</f>
        <v>0</v>
      </c>
      <c r="E11" s="8">
        <f>_xlfn.XLOOKUP(A11,[1]Damer!$A$4:$A$5,[1]Damer!$C$4:$C$5,0)</f>
        <v>0</v>
      </c>
      <c r="F11" s="8">
        <f>_xlfn.XLOOKUP(A11,'[1]Leirsund 2'!$A$4:$A$6,'[1]Leirsund 2'!$C$4:$C$6,0)</f>
        <v>0</v>
      </c>
      <c r="G11" s="8">
        <f>_xlfn.XLOOKUP(A11,'[1]A-lag'!$A$4:$A$6,'[1]A-lag'!$C$4:$C$6,0)</f>
        <v>0</v>
      </c>
      <c r="H11" s="8">
        <f>_xlfn.XLOOKUP(A11,[1]Svømming!$A$4:$A$5,[1]Svømming!$C$4:$C$5,0)</f>
        <v>0</v>
      </c>
      <c r="I11" s="8">
        <f>_xlfn.XLOOKUP(A11,[1]eSport!$A$4:$A$5,[1]eSport!$C$4:$C$5,0)</f>
        <v>0</v>
      </c>
      <c r="J11" s="8">
        <f>_xlfn.XLOOKUP(A11,[1]Futsal!$A$4:$A$5,[1]Futsal!$C$4:$C$5,0)</f>
        <v>0</v>
      </c>
      <c r="K11" s="8">
        <f>_xlfn.XLOOKUP(A11,[1]Drift!$A$4:$A$7,[1]Drift!$C$4:$C$7,0)</f>
        <v>0</v>
      </c>
      <c r="L11" s="8">
        <f>_xlfn.XLOOKUP(A11,[1]Adm!$A$4:$A$9,[1]Adm!$C$4:$C$9,0)</f>
        <v>400000</v>
      </c>
      <c r="N11" s="5" t="s">
        <v>119</v>
      </c>
    </row>
    <row r="12" spans="1:14">
      <c r="A12" s="5" t="s">
        <v>22</v>
      </c>
      <c r="B12" s="8">
        <f t="shared" si="0"/>
        <v>53500</v>
      </c>
      <c r="C12" s="8">
        <f>_xlfn.XLOOKUP(A12,[1]Skigruppa!$A$4:$A$10,[1]Skigruppa!$C$4:$C$10,0)</f>
        <v>53500</v>
      </c>
      <c r="D12" s="8">
        <f>_xlfn.XLOOKUP(A12,[1]Junior!$A$4:$A$5,[1]Junior!$C$4:$C$5,0)</f>
        <v>0</v>
      </c>
      <c r="E12" s="8">
        <f>_xlfn.XLOOKUP(A12,[1]Damer!$A$4:$A$5,[1]Damer!$C$4:$C$5,0)</f>
        <v>0</v>
      </c>
      <c r="F12" s="8">
        <f>_xlfn.XLOOKUP(A12,'[1]Leirsund 2'!$A$4:$A$6,'[1]Leirsund 2'!$C$4:$C$6,0)</f>
        <v>0</v>
      </c>
      <c r="G12" s="8">
        <f>_xlfn.XLOOKUP(A12,'[1]A-lag'!$A$4:$A$6,'[1]A-lag'!$C$4:$C$6,0)</f>
        <v>0</v>
      </c>
      <c r="H12" s="8">
        <f>_xlfn.XLOOKUP(A12,[1]Svømming!$A$4:$A$5,[1]Svømming!$C$4:$C$5,0)</f>
        <v>0</v>
      </c>
      <c r="I12" s="8">
        <f>_xlfn.XLOOKUP(A12,[1]eSport!$A$4:$A$5,[1]eSport!$C$4:$C$5,0)</f>
        <v>0</v>
      </c>
      <c r="J12" s="8">
        <f>_xlfn.XLOOKUP(A12,[1]Futsal!$A$4:$A$5,[1]Futsal!$C$4:$C$5,0)</f>
        <v>0</v>
      </c>
      <c r="K12" s="8">
        <f>_xlfn.XLOOKUP(A12,[1]Drift!$A$4:$A$7,[1]Drift!$C$4:$C$7,0)</f>
        <v>0</v>
      </c>
      <c r="L12" s="8">
        <f>_xlfn.XLOOKUP(A12,[1]Adm!$A$4:$A$9,[1]Adm!$C$4:$C$9,0)</f>
        <v>0</v>
      </c>
      <c r="N12" s="5" t="s">
        <v>120</v>
      </c>
    </row>
    <row r="13" spans="1:14">
      <c r="A13" s="5" t="s">
        <v>23</v>
      </c>
      <c r="B13" s="8">
        <f t="shared" si="0"/>
        <v>70000</v>
      </c>
      <c r="C13" s="8">
        <f>_xlfn.XLOOKUP(A13,[1]Skigruppa!$A$4:$A$10,[1]Skigruppa!$C$4:$C$10,0)</f>
        <v>0</v>
      </c>
      <c r="D13" s="8">
        <f>_xlfn.XLOOKUP(A13,[1]Junior!$A$4:$A$5,[1]Junior!$C$4:$C$5,0)</f>
        <v>0</v>
      </c>
      <c r="E13" s="8">
        <f>_xlfn.XLOOKUP(A13,[1]Damer!$A$4:$A$5,[1]Damer!$C$4:$C$5,0)</f>
        <v>0</v>
      </c>
      <c r="F13" s="8">
        <f>_xlfn.XLOOKUP(A13,'[1]Leirsund 2'!$A$4:$A$6,'[1]Leirsund 2'!$C$4:$C$6,0)</f>
        <v>0</v>
      </c>
      <c r="G13" s="8">
        <f>_xlfn.XLOOKUP(A13,'[1]A-lag'!$A$4:$A$6,'[1]A-lag'!$C$4:$C$6,0)</f>
        <v>0</v>
      </c>
      <c r="H13" s="8">
        <f>_xlfn.XLOOKUP(A13,[1]Svømming!$A$4:$A$5,[1]Svømming!$C$4:$C$5,0)</f>
        <v>0</v>
      </c>
      <c r="I13" s="8">
        <f>_xlfn.XLOOKUP(A13,[1]eSport!$A$4:$A$5,[1]eSport!$C$4:$C$5,0)</f>
        <v>0</v>
      </c>
      <c r="J13" s="8">
        <f>_xlfn.XLOOKUP(A13,[1]Futsal!$A$4:$A$5,[1]Futsal!$C$4:$C$5,0)</f>
        <v>0</v>
      </c>
      <c r="K13" s="8">
        <f>_xlfn.XLOOKUP(A13,[1]Drift!$A$4:$A$7,[1]Drift!$C$4:$C$7,0)</f>
        <v>0</v>
      </c>
      <c r="L13" s="8">
        <f>_xlfn.XLOOKUP(A13,[1]Adm!$A$4:$A$9,[1]Adm!$C$4:$C$9,0)</f>
        <v>70000</v>
      </c>
      <c r="N13" s="5"/>
    </row>
    <row r="14" spans="1:14">
      <c r="A14" s="5" t="s">
        <v>24</v>
      </c>
      <c r="B14" s="8">
        <f t="shared" si="0"/>
        <v>191000</v>
      </c>
      <c r="C14" s="8">
        <f>_xlfn.XLOOKUP(A14,[1]Skigruppa!$A$4:$A$10,[1]Skigruppa!$C$4:$C$10,0)</f>
        <v>0</v>
      </c>
      <c r="D14" s="8">
        <f>_xlfn.XLOOKUP(A14,[1]Junior!$A$4:$A$5,[1]Junior!$C$4:$C$5,0)</f>
        <v>56000</v>
      </c>
      <c r="E14" s="8">
        <f>_xlfn.XLOOKUP(A14,[1]Damer!$A$4:$A$5,[1]Damer!$C$4:$C$5,0)</f>
        <v>25000</v>
      </c>
      <c r="F14" s="8">
        <f>_xlfn.XLOOKUP(A14,'[1]Leirsund 2'!$A$4:$A$6,'[1]Leirsund 2'!$C$4:$C$6,0)</f>
        <v>54000</v>
      </c>
      <c r="G14" s="8">
        <f>_xlfn.XLOOKUP(A14,'[1]A-lag'!$A$4:$A$6,'[1]A-lag'!$C$4:$C$6,0)</f>
        <v>56000</v>
      </c>
      <c r="H14" s="8">
        <f>_xlfn.XLOOKUP(A14,[1]Svømming!$A$4:$A$5,[1]Svømming!$C$4:$C$5,0)</f>
        <v>0</v>
      </c>
      <c r="I14" s="8">
        <f>_xlfn.XLOOKUP(A14,[1]eSport!$A$4:$A$5,[1]eSport!$C$4:$C$5,0)</f>
        <v>0</v>
      </c>
      <c r="J14" s="8">
        <f>_xlfn.XLOOKUP(A14,[1]Futsal!$A$4:$A$5,[1]Futsal!$C$4:$C$5,0)</f>
        <v>0</v>
      </c>
      <c r="K14" s="8">
        <f>_xlfn.XLOOKUP(A14,[1]Drift!$A$4:$A$7,[1]Drift!$C$4:$C$7,0)</f>
        <v>0</v>
      </c>
      <c r="L14" s="8">
        <f>_xlfn.XLOOKUP(A14,[1]Adm!$A$4:$A$9,[1]Adm!$C$4:$C$9,0)</f>
        <v>0</v>
      </c>
      <c r="N14" s="5"/>
    </row>
    <row r="15" spans="1:14">
      <c r="A15" s="5" t="s">
        <v>121</v>
      </c>
      <c r="B15" s="8">
        <f t="shared" si="0"/>
        <v>0</v>
      </c>
      <c r="C15" s="8">
        <f>_xlfn.XLOOKUP(A15,[1]Skigruppa!$A$4:$A$10,[1]Skigruppa!$C$4:$C$10,0)</f>
        <v>10000</v>
      </c>
      <c r="D15" s="8">
        <f>_xlfn.XLOOKUP(A15,[1]Junior!$A$4:$A$5,[1]Junior!$C$4:$C$5,0)</f>
        <v>10000</v>
      </c>
      <c r="E15" s="8">
        <f>_xlfn.XLOOKUP(A15,[1]Damer!$A$4:$A$5,[1]Damer!$C$4:$C$5,0)</f>
        <v>10000</v>
      </c>
      <c r="F15" s="8">
        <f>_xlfn.XLOOKUP(A15,'[1]Leirsund 2'!$A$4:$A$6,'[1]Leirsund 2'!$C$4:$C$6,0)</f>
        <v>10000</v>
      </c>
      <c r="G15" s="8">
        <f>_xlfn.XLOOKUP(A15,'[1]A-lag'!$A$4:$A$6,'[1]A-lag'!$C$4:$C$6,0)</f>
        <v>40000</v>
      </c>
      <c r="H15" s="8">
        <f>_xlfn.XLOOKUP(A15,[1]Svømming!$A$4:$A$5,[1]Svømming!$C$4:$C$5,0)</f>
        <v>0</v>
      </c>
      <c r="I15" s="8">
        <f>_xlfn.XLOOKUP(A15,[1]eSport!$A$4:$A$5,[1]eSport!$C$4:$C$5,0)</f>
        <v>10000</v>
      </c>
      <c r="J15" s="8">
        <f>_xlfn.XLOOKUP(A15,[1]Futsal!$A$4:$A$5,[1]Futsal!$C$4:$C$5,0)</f>
        <v>10000</v>
      </c>
      <c r="K15" s="8">
        <f>_xlfn.XLOOKUP(A15,[1]Drift!$A$4:$A$7,[1]Drift!$C$4:$C$7,0)</f>
        <v>0</v>
      </c>
      <c r="L15" s="8">
        <f>_xlfn.XLOOKUP(A15,[1]Adm!$A$4:$A$9,[1]Adm!$C$4:$C$9,0)</f>
        <v>-100000</v>
      </c>
      <c r="N15" s="5" t="s">
        <v>122</v>
      </c>
    </row>
    <row r="16" spans="1:14"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1:14">
      <c r="A17" s="15" t="s">
        <v>28</v>
      </c>
      <c r="B17" s="16">
        <f>SUM(B4:B15)</f>
        <v>1325000</v>
      </c>
      <c r="C17" s="16">
        <f t="shared" ref="C17:L17" si="1">SUM(C4:C15)</f>
        <v>213500</v>
      </c>
      <c r="D17" s="16">
        <f t="shared" si="1"/>
        <v>66000</v>
      </c>
      <c r="E17" s="16">
        <f t="shared" si="1"/>
        <v>35000</v>
      </c>
      <c r="F17" s="16">
        <f t="shared" si="1"/>
        <v>82500</v>
      </c>
      <c r="G17" s="16">
        <f t="shared" si="1"/>
        <v>146000</v>
      </c>
      <c r="H17" s="16">
        <f t="shared" si="1"/>
        <v>13000</v>
      </c>
      <c r="I17" s="16">
        <f t="shared" si="1"/>
        <v>10000</v>
      </c>
      <c r="J17" s="16">
        <f t="shared" si="1"/>
        <v>10000</v>
      </c>
      <c r="K17" s="16">
        <f t="shared" si="1"/>
        <v>129000</v>
      </c>
      <c r="L17" s="16">
        <f t="shared" si="1"/>
        <v>620000</v>
      </c>
    </row>
    <row r="18" spans="1:14">
      <c r="A18" s="1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1:14">
      <c r="B19" s="21" t="s">
        <v>0</v>
      </c>
      <c r="C19" s="21" t="s">
        <v>1</v>
      </c>
      <c r="D19" s="21" t="s">
        <v>2</v>
      </c>
      <c r="E19" s="21" t="s">
        <v>3</v>
      </c>
      <c r="F19" s="21" t="s">
        <v>4</v>
      </c>
      <c r="G19" s="21" t="s">
        <v>5</v>
      </c>
      <c r="H19" s="21" t="s">
        <v>6</v>
      </c>
      <c r="I19" s="21" t="s">
        <v>7</v>
      </c>
      <c r="J19" s="21" t="s">
        <v>8</v>
      </c>
      <c r="K19" s="21" t="s">
        <v>9</v>
      </c>
      <c r="L19" s="21" t="s">
        <v>10</v>
      </c>
      <c r="N19" s="24" t="s">
        <v>11</v>
      </c>
    </row>
    <row r="20" spans="1:14">
      <c r="A20" s="15" t="s">
        <v>29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N20" s="25"/>
    </row>
    <row r="21" spans="1:14">
      <c r="A21" s="5" t="str" cm="1">
        <f t="array" ref="A21:A56">_xlfn.UNIQUE(_xlfn.VSTACK([1]Skigruppa!A14:A33,[1]Junior!A9:A15,[1]Damer!A9:A15,'[1]Leirsund 2'!A10:A16,'[1]A-lag'!A10:A19,[1]Svømming!A9:A10,[1]eSport!A9:A15,[1]Futsal!A9:A14,[1]Drift!A11:A27,[1]Adm!A13:A24))</f>
        <v>4300 Innkjøp varer for videresalg, høy avgiftssats</v>
      </c>
      <c r="B21" s="8">
        <f>SUM(C21:L21)</f>
        <v>61000</v>
      </c>
      <c r="C21" s="8">
        <f>_xlfn.XLOOKUP(A21,[1]Skigruppa!$A$14:$A$33,[1]Skigruppa!$C$14:$C$33,0)</f>
        <v>20000</v>
      </c>
      <c r="D21" s="8">
        <f>_xlfn.XLOOKUP(A21,[1]Junior!$A$9:$A$17,[1]Junior!$C$9:$C$17,0)</f>
        <v>0</v>
      </c>
      <c r="E21" s="8">
        <f>_xlfn.XLOOKUP(A21,[1]Damer!$A$9:$A$15,[1]Damer!$C$9:$C$15,0)</f>
        <v>0</v>
      </c>
      <c r="F21" s="8">
        <f>_xlfn.XLOOKUP(A21,'[1]Leirsund 2'!$A$10:$A$16,'[1]Leirsund 2'!$C$10:$C$16,0)</f>
        <v>0</v>
      </c>
      <c r="G21" s="8">
        <f>_xlfn.XLOOKUP(A21,'[1]A-lag'!$A$10:$A$19,'[1]A-lag'!$C$10:$C$19,0)</f>
        <v>0</v>
      </c>
      <c r="H21" s="8">
        <f>_xlfn.XLOOKUP(A21,[1]Svømming!$A$9:$A$10,[1]Svømming!$C$9:$C$10,0)</f>
        <v>1000</v>
      </c>
      <c r="I21" s="8">
        <f>_xlfn.XLOOKUP(A21,[1]eSport!$A$9:$A$15,[1]eSport!$C$9:$C$15,0)</f>
        <v>0</v>
      </c>
      <c r="J21" s="8">
        <f>_xlfn.XLOOKUP(A21,[1]Futsal!$A$9:$A$14,[1]Futsal!$C$9:$C$14,0)</f>
        <v>0</v>
      </c>
      <c r="K21" s="8">
        <f>_xlfn.XLOOKUP(A21,[1]Drift!$A$11:$A$27,[1]Drift!$C$11:$C$27,0)</f>
        <v>0</v>
      </c>
      <c r="L21" s="8">
        <f>_xlfn.XLOOKUP(A21,[1]Adm!$A$13:$A$24,[1]Adm!$C$13:$C$24,0)</f>
        <v>40000</v>
      </c>
      <c r="N21" s="5" t="s">
        <v>123</v>
      </c>
    </row>
    <row r="22" spans="1:14">
      <c r="A22" s="5" t="str">
        <v>4500 Fremmedytelser og underentrepriser</v>
      </c>
      <c r="B22" s="8">
        <f t="shared" ref="B22:B56" si="2">SUM(C22:L22)</f>
        <v>117000</v>
      </c>
      <c r="C22" s="8">
        <f>_xlfn.XLOOKUP(A22,[1]Skigruppa!$A$14:$A$33,[1]Skigruppa!$C$14:$C$33,0)</f>
        <v>50000</v>
      </c>
      <c r="D22" s="8">
        <f>_xlfn.XLOOKUP(A22,[1]Junior!$A$9:$A$17,[1]Junior!$C$9:$C$17,0)</f>
        <v>3000</v>
      </c>
      <c r="E22" s="8">
        <f>_xlfn.XLOOKUP(A22,[1]Damer!$A$9:$A$15,[1]Damer!$C$9:$C$15,0)</f>
        <v>5000</v>
      </c>
      <c r="F22" s="8">
        <f>_xlfn.XLOOKUP(A22,'[1]Leirsund 2'!$A$10:$A$16,'[1]Leirsund 2'!$C$10:$C$16,0)</f>
        <v>14000</v>
      </c>
      <c r="G22" s="8">
        <f>_xlfn.XLOOKUP(A22,'[1]A-lag'!$A$10:$A$19,'[1]A-lag'!$C$10:$C$19,0)</f>
        <v>45000</v>
      </c>
      <c r="H22" s="8">
        <f>_xlfn.XLOOKUP(A22,[1]Svømming!$A$9:$A$10,[1]Svømming!$C$9:$C$10,0)</f>
        <v>0</v>
      </c>
      <c r="I22" s="8">
        <f>_xlfn.XLOOKUP(A22,[1]eSport!$A$9:$A$15,[1]eSport!$C$9:$C$15,0)</f>
        <v>0</v>
      </c>
      <c r="J22" s="8">
        <f>_xlfn.XLOOKUP(A22,[1]Futsal!$A$9:$A$14,[1]Futsal!$C$9:$C$14,0)</f>
        <v>0</v>
      </c>
      <c r="K22" s="8">
        <f>_xlfn.XLOOKUP(A22,[1]Drift!$A$11:$A$27,[1]Drift!$C$11:$C$27,0)</f>
        <v>0</v>
      </c>
      <c r="L22" s="8">
        <f>_xlfn.XLOOKUP(A22,[1]Adm!$A$13:$A$24,[1]Adm!$C$13:$C$24,0)</f>
        <v>0</v>
      </c>
      <c r="N22" s="5" t="s">
        <v>124</v>
      </c>
    </row>
    <row r="23" spans="1:14">
      <c r="A23" s="5" t="str">
        <v>5990 Annen personalkostnad</v>
      </c>
      <c r="B23" s="8">
        <f t="shared" si="2"/>
        <v>100900</v>
      </c>
      <c r="C23" s="8">
        <f>_xlfn.XLOOKUP(A23,[1]Skigruppa!$A$14:$A$33,[1]Skigruppa!$C$14:$C$33,0)</f>
        <v>3500</v>
      </c>
      <c r="D23" s="8">
        <f>_xlfn.XLOOKUP(A23,[1]Junior!$A$9:$A$17,[1]Junior!$C$9:$C$17,0)</f>
        <v>30000</v>
      </c>
      <c r="E23" s="8">
        <f>_xlfn.XLOOKUP(A23,[1]Damer!$A$9:$A$15,[1]Damer!$C$9:$C$15,0)</f>
        <v>10000</v>
      </c>
      <c r="F23" s="8">
        <f>_xlfn.XLOOKUP(A23,'[1]Leirsund 2'!$A$10:$A$16,'[1]Leirsund 2'!$C$10:$C$16,0)</f>
        <v>15000</v>
      </c>
      <c r="G23" s="8">
        <f>_xlfn.XLOOKUP(A23,'[1]A-lag'!$A$10:$A$19,'[1]A-lag'!$C$10:$C$19,0)</f>
        <v>12400</v>
      </c>
      <c r="H23" s="8">
        <f>_xlfn.XLOOKUP(A23,[1]Svømming!$A$9:$A$10,[1]Svømming!$C$9:$C$10,0)</f>
        <v>0</v>
      </c>
      <c r="I23" s="8">
        <f>_xlfn.XLOOKUP(A23,[1]eSport!$A$9:$A$15,[1]eSport!$C$9:$C$15,0)</f>
        <v>10000</v>
      </c>
      <c r="J23" s="8">
        <f>_xlfn.XLOOKUP(A23,[1]Futsal!$A$9:$A$14,[1]Futsal!$C$9:$C$14,0)</f>
        <v>10000</v>
      </c>
      <c r="K23" s="8">
        <f>_xlfn.XLOOKUP(A23,[1]Drift!$A$11:$A$27,[1]Drift!$C$11:$C$27,0)</f>
        <v>0</v>
      </c>
      <c r="L23" s="8">
        <f>_xlfn.XLOOKUP(A23,[1]Adm!$A$13:$A$24,[1]Adm!$C$13:$C$24,0)</f>
        <v>10000</v>
      </c>
      <c r="N23" s="5" t="s">
        <v>125</v>
      </c>
    </row>
    <row r="24" spans="1:14">
      <c r="A24" s="5" t="str">
        <v>6000 Avskrivninger bygninger og annen fast eiendom</v>
      </c>
      <c r="B24" s="8">
        <f t="shared" si="2"/>
        <v>61259</v>
      </c>
      <c r="C24" s="8">
        <f>_xlfn.XLOOKUP(A24,[1]Skigruppa!$A$14:$A$33,[1]Skigruppa!$C$14:$C$33,0)</f>
        <v>50000</v>
      </c>
      <c r="D24" s="8">
        <f>_xlfn.XLOOKUP(A24,[1]Junior!$A$9:$A$17,[1]Junior!$C$9:$C$17,0)</f>
        <v>0</v>
      </c>
      <c r="E24" s="8">
        <f>_xlfn.XLOOKUP(A24,[1]Damer!$A$9:$A$15,[1]Damer!$C$9:$C$15,0)</f>
        <v>0</v>
      </c>
      <c r="F24" s="8">
        <f>_xlfn.XLOOKUP(A24,'[1]Leirsund 2'!$A$10:$A$16,'[1]Leirsund 2'!$C$10:$C$16,0)</f>
        <v>0</v>
      </c>
      <c r="G24" s="8">
        <f>_xlfn.XLOOKUP(A24,'[1]A-lag'!$A$10:$A$19,'[1]A-lag'!$C$10:$C$19,0)</f>
        <v>0</v>
      </c>
      <c r="H24" s="8">
        <f>_xlfn.XLOOKUP(A24,[1]Svømming!$A$9:$A$10,[1]Svømming!$C$9:$C$10,0)</f>
        <v>0</v>
      </c>
      <c r="I24" s="8">
        <f>_xlfn.XLOOKUP(A24,[1]eSport!$A$9:$A$15,[1]eSport!$C$9:$C$15,0)</f>
        <v>0</v>
      </c>
      <c r="J24" s="8">
        <f>_xlfn.XLOOKUP(A24,[1]Futsal!$A$9:$A$14,[1]Futsal!$C$9:$C$14,0)</f>
        <v>0</v>
      </c>
      <c r="K24" s="8">
        <f>_xlfn.XLOOKUP(A24,[1]Drift!$A$11:$A$27,[1]Drift!$C$11:$C$27,0)</f>
        <v>0</v>
      </c>
      <c r="L24" s="8">
        <f>_xlfn.XLOOKUP(A24,[1]Adm!$A$13:$A$24,[1]Adm!$C$13:$C$24,0)</f>
        <v>11259</v>
      </c>
      <c r="N24" s="5"/>
    </row>
    <row r="25" spans="1:14">
      <c r="A25" s="5" t="str">
        <v>6320 Renovasjon, vann, avløp mv.</v>
      </c>
      <c r="B25" s="8">
        <f t="shared" si="2"/>
        <v>35000</v>
      </c>
      <c r="C25" s="8">
        <f>_xlfn.XLOOKUP(A25,[1]Skigruppa!$A$14:$A$33,[1]Skigruppa!$C$14:$C$33,0)</f>
        <v>10000</v>
      </c>
      <c r="D25" s="8">
        <f>_xlfn.XLOOKUP(A25,[1]Junior!$A$9:$A$17,[1]Junior!$C$9:$C$17,0)</f>
        <v>0</v>
      </c>
      <c r="E25" s="8">
        <f>_xlfn.XLOOKUP(A25,[1]Damer!$A$9:$A$15,[1]Damer!$C$9:$C$15,0)</f>
        <v>0</v>
      </c>
      <c r="F25" s="8">
        <f>_xlfn.XLOOKUP(A25,'[1]Leirsund 2'!$A$10:$A$16,'[1]Leirsund 2'!$C$10:$C$16,0)</f>
        <v>0</v>
      </c>
      <c r="G25" s="8">
        <f>_xlfn.XLOOKUP(A25,'[1]A-lag'!$A$10:$A$19,'[1]A-lag'!$C$10:$C$19,0)</f>
        <v>0</v>
      </c>
      <c r="H25" s="8">
        <f>_xlfn.XLOOKUP(A25,[1]Svømming!$A$9:$A$10,[1]Svømming!$C$9:$C$10,0)</f>
        <v>0</v>
      </c>
      <c r="I25" s="8">
        <f>_xlfn.XLOOKUP(A25,[1]eSport!$A$9:$A$15,[1]eSport!$C$9:$C$15,0)</f>
        <v>0</v>
      </c>
      <c r="J25" s="8">
        <f>_xlfn.XLOOKUP(A25,[1]Futsal!$A$9:$A$14,[1]Futsal!$C$9:$C$14,0)</f>
        <v>0</v>
      </c>
      <c r="K25" s="8">
        <f>_xlfn.XLOOKUP(A25,[1]Drift!$A$11:$A$27,[1]Drift!$C$11:$C$27,0)</f>
        <v>25000</v>
      </c>
      <c r="L25" s="8">
        <f>_xlfn.XLOOKUP(A25,[1]Adm!$A$13:$A$24,[1]Adm!$C$13:$C$24,0)</f>
        <v>0</v>
      </c>
      <c r="N25" s="5"/>
    </row>
    <row r="26" spans="1:14">
      <c r="A26" s="5" t="str">
        <v>6340 Lys, varme</v>
      </c>
      <c r="B26" s="8">
        <f t="shared" si="2"/>
        <v>85000</v>
      </c>
      <c r="C26" s="8">
        <f>_xlfn.XLOOKUP(A26,[1]Skigruppa!$A$14:$A$33,[1]Skigruppa!$C$14:$C$33,0)</f>
        <v>40000</v>
      </c>
      <c r="D26" s="8">
        <f>_xlfn.XLOOKUP(A26,[1]Junior!$A$9:$A$17,[1]Junior!$C$9:$C$17,0)</f>
        <v>0</v>
      </c>
      <c r="E26" s="8">
        <f>_xlfn.XLOOKUP(A26,[1]Damer!$A$9:$A$15,[1]Damer!$C$9:$C$15,0)</f>
        <v>0</v>
      </c>
      <c r="F26" s="8">
        <f>_xlfn.XLOOKUP(A26,'[1]Leirsund 2'!$A$10:$A$16,'[1]Leirsund 2'!$C$10:$C$16,0)</f>
        <v>0</v>
      </c>
      <c r="G26" s="8">
        <f>_xlfn.XLOOKUP(A26,'[1]A-lag'!$A$10:$A$19,'[1]A-lag'!$C$10:$C$19,0)</f>
        <v>0</v>
      </c>
      <c r="H26" s="8">
        <f>_xlfn.XLOOKUP(A26,[1]Svømming!$A$9:$A$10,[1]Svømming!$C$9:$C$10,0)</f>
        <v>0</v>
      </c>
      <c r="I26" s="8">
        <f>_xlfn.XLOOKUP(A26,[1]eSport!$A$9:$A$15,[1]eSport!$C$9:$C$15,0)</f>
        <v>0</v>
      </c>
      <c r="J26" s="8">
        <f>_xlfn.XLOOKUP(A26,[1]Futsal!$A$9:$A$14,[1]Futsal!$C$9:$C$14,0)</f>
        <v>0</v>
      </c>
      <c r="K26" s="8">
        <f>_xlfn.XLOOKUP(A26,[1]Drift!$A$11:$A$27,[1]Drift!$C$11:$C$27,0)</f>
        <v>45000</v>
      </c>
      <c r="L26" s="8">
        <f>_xlfn.XLOOKUP(A26,[1]Adm!$A$13:$A$24,[1]Adm!$C$13:$C$24,0)</f>
        <v>0</v>
      </c>
      <c r="N26" s="5" t="s">
        <v>126</v>
      </c>
    </row>
    <row r="27" spans="1:14">
      <c r="A27" s="5" t="str">
        <v>6370 Vakthold</v>
      </c>
      <c r="B27" s="8">
        <f t="shared" si="2"/>
        <v>16000</v>
      </c>
      <c r="C27" s="8">
        <f>_xlfn.XLOOKUP(A27,[1]Skigruppa!$A$14:$A$33,[1]Skigruppa!$C$14:$C$33,0)</f>
        <v>10000</v>
      </c>
      <c r="D27" s="8">
        <f>_xlfn.XLOOKUP(A27,[1]Junior!$A$9:$A$17,[1]Junior!$C$9:$C$17,0)</f>
        <v>0</v>
      </c>
      <c r="E27" s="8">
        <f>_xlfn.XLOOKUP(A27,[1]Damer!$A$9:$A$15,[1]Damer!$C$9:$C$15,0)</f>
        <v>0</v>
      </c>
      <c r="F27" s="8">
        <f>_xlfn.XLOOKUP(A27,'[1]Leirsund 2'!$A$10:$A$16,'[1]Leirsund 2'!$C$10:$C$16,0)</f>
        <v>0</v>
      </c>
      <c r="G27" s="8">
        <f>_xlfn.XLOOKUP(A27,'[1]A-lag'!$A$10:$A$19,'[1]A-lag'!$C$10:$C$19,0)</f>
        <v>0</v>
      </c>
      <c r="H27" s="8">
        <f>_xlfn.XLOOKUP(A27,[1]Svømming!$A$9:$A$10,[1]Svømming!$C$9:$C$10,0)</f>
        <v>0</v>
      </c>
      <c r="I27" s="8">
        <f>_xlfn.XLOOKUP(A27,[1]eSport!$A$9:$A$15,[1]eSport!$C$9:$C$15,0)</f>
        <v>0</v>
      </c>
      <c r="J27" s="8">
        <f>_xlfn.XLOOKUP(A27,[1]Futsal!$A$9:$A$14,[1]Futsal!$C$9:$C$14,0)</f>
        <v>0</v>
      </c>
      <c r="K27" s="8">
        <f>_xlfn.XLOOKUP(A27,[1]Drift!$A$11:$A$27,[1]Drift!$C$11:$C$27,0)</f>
        <v>6000</v>
      </c>
      <c r="L27" s="8">
        <f>_xlfn.XLOOKUP(A27,[1]Adm!$A$13:$A$24,[1]Adm!$C$13:$C$24,0)</f>
        <v>0</v>
      </c>
      <c r="N27" s="5"/>
    </row>
    <row r="28" spans="1:14">
      <c r="A28" s="5" t="str">
        <v>6490 Annen leiekostnad</v>
      </c>
      <c r="B28" s="8">
        <f t="shared" si="2"/>
        <v>144500</v>
      </c>
      <c r="C28" s="8">
        <f>_xlfn.XLOOKUP(A28,[1]Skigruppa!$A$14:$A$33,[1]Skigruppa!$C$14:$C$33,0)</f>
        <v>72000</v>
      </c>
      <c r="D28" s="8">
        <f>_xlfn.XLOOKUP(A28,[1]Junior!$A$9:$A$17,[1]Junior!$C$9:$C$17,0)</f>
        <v>2500</v>
      </c>
      <c r="E28" s="8">
        <f>_xlfn.XLOOKUP(A28,[1]Damer!$A$9:$A$15,[1]Damer!$C$9:$C$15,0)</f>
        <v>0</v>
      </c>
      <c r="F28" s="8">
        <f>_xlfn.XLOOKUP(A28,'[1]Leirsund 2'!$A$10:$A$16,'[1]Leirsund 2'!$C$10:$C$16,0)</f>
        <v>20000</v>
      </c>
      <c r="G28" s="8">
        <f>_xlfn.XLOOKUP(A28,'[1]A-lag'!$A$10:$A$19,'[1]A-lag'!$C$10:$C$19,0)</f>
        <v>50000</v>
      </c>
      <c r="H28" s="8">
        <f>_xlfn.XLOOKUP(A28,[1]Svømming!$A$9:$A$10,[1]Svømming!$C$9:$C$10,0)</f>
        <v>0</v>
      </c>
      <c r="I28" s="8">
        <f>_xlfn.XLOOKUP(A28,[1]eSport!$A$9:$A$15,[1]eSport!$C$9:$C$15,0)</f>
        <v>0</v>
      </c>
      <c r="J28" s="8">
        <f>_xlfn.XLOOKUP(A28,[1]Futsal!$A$9:$A$14,[1]Futsal!$C$9:$C$14,0)</f>
        <v>0</v>
      </c>
      <c r="K28" s="8">
        <f>_xlfn.XLOOKUP(A28,[1]Drift!$A$11:$A$27,[1]Drift!$C$11:$C$27,0)</f>
        <v>0</v>
      </c>
      <c r="L28" s="8">
        <f>_xlfn.XLOOKUP(A28,[1]Adm!$A$13:$A$24,[1]Adm!$C$13:$C$24,0)</f>
        <v>0</v>
      </c>
      <c r="N28" s="5" t="s">
        <v>127</v>
      </c>
    </row>
    <row r="29" spans="1:14">
      <c r="A29" s="5" t="str">
        <v>6540 Inventar og utstyr</v>
      </c>
      <c r="B29" s="8">
        <f t="shared" si="2"/>
        <v>102000</v>
      </c>
      <c r="C29" s="8">
        <f>_xlfn.XLOOKUP(A29,[1]Skigruppa!$A$14:$A$33,[1]Skigruppa!$C$14:$C$33,0)</f>
        <v>20000</v>
      </c>
      <c r="D29" s="8">
        <f>_xlfn.XLOOKUP(A29,[1]Junior!$A$9:$A$17,[1]Junior!$C$9:$C$17,0)</f>
        <v>0</v>
      </c>
      <c r="E29" s="8">
        <f>_xlfn.XLOOKUP(A29,[1]Damer!$A$9:$A$15,[1]Damer!$C$9:$C$15,0)</f>
        <v>0</v>
      </c>
      <c r="F29" s="8">
        <f>_xlfn.XLOOKUP(A29,'[1]Leirsund 2'!$A$10:$A$16,'[1]Leirsund 2'!$C$10:$C$16,0)</f>
        <v>0</v>
      </c>
      <c r="G29" s="8">
        <f>_xlfn.XLOOKUP(A29,'[1]A-lag'!$A$10:$A$19,'[1]A-lag'!$C$10:$C$19,0)</f>
        <v>0</v>
      </c>
      <c r="H29" s="8">
        <f>_xlfn.XLOOKUP(A29,[1]Svømming!$A$9:$A$10,[1]Svømming!$C$9:$C$10,0)</f>
        <v>0</v>
      </c>
      <c r="I29" s="8">
        <f>_xlfn.XLOOKUP(A29,[1]eSport!$A$9:$A$15,[1]eSport!$C$9:$C$15,0)</f>
        <v>0</v>
      </c>
      <c r="J29" s="8">
        <f>_xlfn.XLOOKUP(A29,[1]Futsal!$A$9:$A$14,[1]Futsal!$C$9:$C$14,0)</f>
        <v>20000</v>
      </c>
      <c r="K29" s="8">
        <f>_xlfn.XLOOKUP(A29,[1]Drift!$A$11:$A$27,[1]Drift!$C$11:$C$27,0)</f>
        <v>60000</v>
      </c>
      <c r="L29" s="8">
        <f>_xlfn.XLOOKUP(A29,[1]Adm!$A$13:$A$24,[1]Adm!$C$13:$C$24,0)</f>
        <v>2000</v>
      </c>
      <c r="N29" s="5"/>
    </row>
    <row r="30" spans="1:14">
      <c r="A30" s="5" t="str">
        <v>6600 Reparasjon og vedlikehold bygninger</v>
      </c>
      <c r="B30" s="8">
        <f t="shared" si="2"/>
        <v>100000</v>
      </c>
      <c r="C30" s="8">
        <f>_xlfn.XLOOKUP(A30,[1]Skigruppa!$A$14:$A$33,[1]Skigruppa!$C$14:$C$33,0)</f>
        <v>20000</v>
      </c>
      <c r="D30" s="8">
        <f>_xlfn.XLOOKUP(A30,[1]Junior!$A$9:$A$17,[1]Junior!$C$9:$C$17,0)</f>
        <v>0</v>
      </c>
      <c r="E30" s="8">
        <f>_xlfn.XLOOKUP(A30,[1]Damer!$A$9:$A$15,[1]Damer!$C$9:$C$15,0)</f>
        <v>0</v>
      </c>
      <c r="F30" s="8">
        <f>_xlfn.XLOOKUP(A30,'[1]Leirsund 2'!$A$10:$A$16,'[1]Leirsund 2'!$C$10:$C$16,0)</f>
        <v>0</v>
      </c>
      <c r="G30" s="8">
        <f>_xlfn.XLOOKUP(A30,'[1]A-lag'!$A$10:$A$19,'[1]A-lag'!$C$10:$C$19,0)</f>
        <v>0</v>
      </c>
      <c r="H30" s="8">
        <f>_xlfn.XLOOKUP(A30,[1]Svømming!$A$9:$A$10,[1]Svømming!$C$9:$C$10,0)</f>
        <v>0</v>
      </c>
      <c r="I30" s="8">
        <f>_xlfn.XLOOKUP(A30,[1]eSport!$A$9:$A$15,[1]eSport!$C$9:$C$15,0)</f>
        <v>0</v>
      </c>
      <c r="J30" s="8">
        <f>_xlfn.XLOOKUP(A30,[1]Futsal!$A$9:$A$14,[1]Futsal!$C$9:$C$14,0)</f>
        <v>0</v>
      </c>
      <c r="K30" s="8">
        <f>_xlfn.XLOOKUP(A30,[1]Drift!$A$11:$A$27,[1]Drift!$C$11:$C$27,0)</f>
        <v>80000</v>
      </c>
      <c r="L30" s="8">
        <f>_xlfn.XLOOKUP(A30,[1]Adm!$A$13:$A$24,[1]Adm!$C$13:$C$24,0)</f>
        <v>0</v>
      </c>
      <c r="N30" s="5"/>
    </row>
    <row r="31" spans="1:14">
      <c r="A31" s="5" t="str">
        <v>6620 Reparasjon og vedlikehold utstyr</v>
      </c>
      <c r="B31" s="8">
        <f t="shared" si="2"/>
        <v>55000</v>
      </c>
      <c r="C31" s="8">
        <f>_xlfn.XLOOKUP(A31,[1]Skigruppa!$A$14:$A$33,[1]Skigruppa!$C$14:$C$33,0)</f>
        <v>15000</v>
      </c>
      <c r="D31" s="8">
        <f>_xlfn.XLOOKUP(A31,[1]Junior!$A$9:$A$17,[1]Junior!$C$9:$C$17,0)</f>
        <v>0</v>
      </c>
      <c r="E31" s="8">
        <f>_xlfn.XLOOKUP(A31,[1]Damer!$A$9:$A$15,[1]Damer!$C$9:$C$15,0)</f>
        <v>0</v>
      </c>
      <c r="F31" s="8">
        <f>_xlfn.XLOOKUP(A31,'[1]Leirsund 2'!$A$10:$A$16,'[1]Leirsund 2'!$C$10:$C$16,0)</f>
        <v>0</v>
      </c>
      <c r="G31" s="8">
        <f>_xlfn.XLOOKUP(A31,'[1]A-lag'!$A$10:$A$19,'[1]A-lag'!$C$10:$C$19,0)</f>
        <v>0</v>
      </c>
      <c r="H31" s="8">
        <f>_xlfn.XLOOKUP(A31,[1]Svømming!$A$9:$A$10,[1]Svømming!$C$9:$C$10,0)</f>
        <v>0</v>
      </c>
      <c r="I31" s="8">
        <f>_xlfn.XLOOKUP(A31,[1]eSport!$A$9:$A$15,[1]eSport!$C$9:$C$15,0)</f>
        <v>0</v>
      </c>
      <c r="J31" s="8">
        <f>_xlfn.XLOOKUP(A31,[1]Futsal!$A$9:$A$14,[1]Futsal!$C$9:$C$14,0)</f>
        <v>0</v>
      </c>
      <c r="K31" s="8">
        <f>_xlfn.XLOOKUP(A31,[1]Drift!$A$11:$A$27,[1]Drift!$C$11:$C$27,0)</f>
        <v>40000</v>
      </c>
      <c r="L31" s="8">
        <f>_xlfn.XLOOKUP(A31,[1]Adm!$A$13:$A$24,[1]Adm!$C$13:$C$24,0)</f>
        <v>0</v>
      </c>
      <c r="N31" s="5"/>
    </row>
    <row r="32" spans="1:14">
      <c r="A32" s="5" t="str">
        <v>6800 Kontorrekvisita (Res)</v>
      </c>
      <c r="B32" s="8">
        <f t="shared" si="2"/>
        <v>40000</v>
      </c>
      <c r="C32" s="8">
        <f>_xlfn.XLOOKUP(A32,[1]Skigruppa!$A$14:$A$33,[1]Skigruppa!$C$14:$C$33,0)</f>
        <v>20000</v>
      </c>
      <c r="D32" s="8">
        <f>_xlfn.XLOOKUP(A32,[1]Junior!$A$9:$A$17,[1]Junior!$C$9:$C$17,0)</f>
        <v>0</v>
      </c>
      <c r="E32" s="8">
        <f>_xlfn.XLOOKUP(A32,[1]Damer!$A$9:$A$15,[1]Damer!$C$9:$C$15,0)</f>
        <v>0</v>
      </c>
      <c r="F32" s="8">
        <f>_xlfn.XLOOKUP(A32,'[1]Leirsund 2'!$A$10:$A$16,'[1]Leirsund 2'!$C$10:$C$16,0)</f>
        <v>0</v>
      </c>
      <c r="G32" s="8">
        <f>_xlfn.XLOOKUP(A32,'[1]A-lag'!$A$10:$A$19,'[1]A-lag'!$C$10:$C$19,0)</f>
        <v>0</v>
      </c>
      <c r="H32" s="8">
        <f>_xlfn.XLOOKUP(A32,[1]Svømming!$A$9:$A$10,[1]Svømming!$C$9:$C$10,0)</f>
        <v>0</v>
      </c>
      <c r="I32" s="8">
        <f>_xlfn.XLOOKUP(A32,[1]eSport!$A$9:$A$15,[1]eSport!$C$9:$C$15,0)</f>
        <v>0</v>
      </c>
      <c r="J32" s="8">
        <f>_xlfn.XLOOKUP(A32,[1]Futsal!$A$9:$A$14,[1]Futsal!$C$9:$C$14,0)</f>
        <v>0</v>
      </c>
      <c r="K32" s="8">
        <f>_xlfn.XLOOKUP(A32,[1]Drift!$A$11:$A$27,[1]Drift!$C$11:$C$27,0)</f>
        <v>20000</v>
      </c>
      <c r="L32" s="8">
        <f>_xlfn.XLOOKUP(A32,[1]Adm!$A$13:$A$24,[1]Adm!$C$13:$C$24,0)</f>
        <v>0</v>
      </c>
      <c r="N32" s="5"/>
    </row>
    <row r="33" spans="1:14">
      <c r="A33" s="5" t="str">
        <v>7000 Drivstoff transportmidler</v>
      </c>
      <c r="B33" s="8">
        <f t="shared" si="2"/>
        <v>20000</v>
      </c>
      <c r="C33" s="8">
        <f>_xlfn.XLOOKUP(A33,[1]Skigruppa!$A$14:$A$33,[1]Skigruppa!$C$14:$C$33,0)</f>
        <v>10000</v>
      </c>
      <c r="D33" s="8">
        <f>_xlfn.XLOOKUP(A33,[1]Junior!$A$9:$A$17,[1]Junior!$C$9:$C$17,0)</f>
        <v>0</v>
      </c>
      <c r="E33" s="8">
        <f>_xlfn.XLOOKUP(A33,[1]Damer!$A$9:$A$15,[1]Damer!$C$9:$C$15,0)</f>
        <v>0</v>
      </c>
      <c r="F33" s="8">
        <f>_xlfn.XLOOKUP(A33,'[1]Leirsund 2'!$A$10:$A$16,'[1]Leirsund 2'!$C$10:$C$16,0)</f>
        <v>0</v>
      </c>
      <c r="G33" s="8">
        <f>_xlfn.XLOOKUP(A33,'[1]A-lag'!$A$10:$A$19,'[1]A-lag'!$C$10:$C$19,0)</f>
        <v>0</v>
      </c>
      <c r="H33" s="8">
        <f>_xlfn.XLOOKUP(A33,[1]Svømming!$A$9:$A$10,[1]Svømming!$C$9:$C$10,0)</f>
        <v>0</v>
      </c>
      <c r="I33" s="8">
        <f>_xlfn.XLOOKUP(A33,[1]eSport!$A$9:$A$15,[1]eSport!$C$9:$C$15,0)</f>
        <v>0</v>
      </c>
      <c r="J33" s="8">
        <f>_xlfn.XLOOKUP(A33,[1]Futsal!$A$9:$A$14,[1]Futsal!$C$9:$C$14,0)</f>
        <v>0</v>
      </c>
      <c r="K33" s="8">
        <f>_xlfn.XLOOKUP(A33,[1]Drift!$A$11:$A$27,[1]Drift!$C$11:$C$27,0)</f>
        <v>10000</v>
      </c>
      <c r="L33" s="8">
        <f>_xlfn.XLOOKUP(A33,[1]Adm!$A$13:$A$24,[1]Adm!$C$13:$C$24,0)</f>
        <v>0</v>
      </c>
      <c r="N33" s="5"/>
    </row>
    <row r="34" spans="1:14">
      <c r="A34" s="5" t="str">
        <v>7162 Bevertning</v>
      </c>
      <c r="B34" s="8">
        <f t="shared" si="2"/>
        <v>17000</v>
      </c>
      <c r="C34" s="8">
        <f>_xlfn.XLOOKUP(A34,[1]Skigruppa!$A$14:$A$33,[1]Skigruppa!$C$14:$C$33,0)</f>
        <v>15000</v>
      </c>
      <c r="D34" s="8">
        <f>_xlfn.XLOOKUP(A34,[1]Junior!$A$9:$A$17,[1]Junior!$C$9:$C$17,0)</f>
        <v>0</v>
      </c>
      <c r="E34" s="8">
        <f>_xlfn.XLOOKUP(A34,[1]Damer!$A$9:$A$15,[1]Damer!$C$9:$C$15,0)</f>
        <v>0</v>
      </c>
      <c r="F34" s="8">
        <f>_xlfn.XLOOKUP(A34,'[1]Leirsund 2'!$A$10:$A$16,'[1]Leirsund 2'!$C$10:$C$16,0)</f>
        <v>0</v>
      </c>
      <c r="G34" s="8">
        <f>_xlfn.XLOOKUP(A34,'[1]A-lag'!$A$10:$A$19,'[1]A-lag'!$C$10:$C$19,0)</f>
        <v>0</v>
      </c>
      <c r="H34" s="8">
        <f>_xlfn.XLOOKUP(A34,[1]Svømming!$A$9:$A$10,[1]Svømming!$C$9:$C$10,0)</f>
        <v>0</v>
      </c>
      <c r="I34" s="8">
        <f>_xlfn.XLOOKUP(A34,[1]eSport!$A$9:$A$15,[1]eSport!$C$9:$C$15,0)</f>
        <v>0</v>
      </c>
      <c r="J34" s="8">
        <f>_xlfn.XLOOKUP(A34,[1]Futsal!$A$9:$A$14,[1]Futsal!$C$9:$C$14,0)</f>
        <v>0</v>
      </c>
      <c r="K34" s="8">
        <f>_xlfn.XLOOKUP(A34,[1]Drift!$A$11:$A$27,[1]Drift!$C$11:$C$27,0)</f>
        <v>0</v>
      </c>
      <c r="L34" s="8">
        <f>_xlfn.XLOOKUP(A34,[1]Adm!$A$13:$A$24,[1]Adm!$C$13:$C$24,0)</f>
        <v>2000</v>
      </c>
      <c r="N34" s="5"/>
    </row>
    <row r="35" spans="1:14">
      <c r="A35" s="5" t="str">
        <v>7400 Kontingent, fradragsberettiget</v>
      </c>
      <c r="B35" s="8">
        <f t="shared" si="2"/>
        <v>0</v>
      </c>
      <c r="C35" s="8">
        <f>_xlfn.XLOOKUP(A35,[1]Skigruppa!$A$14:$A$33,[1]Skigruppa!$C$14:$C$33,0)</f>
        <v>0</v>
      </c>
      <c r="D35" s="8">
        <f>_xlfn.XLOOKUP(A35,[1]Junior!$A$9:$A$17,[1]Junior!$C$9:$C$17,0)</f>
        <v>0</v>
      </c>
      <c r="E35" s="8">
        <f>_xlfn.XLOOKUP(A35,[1]Damer!$A$9:$A$15,[1]Damer!$C$9:$C$15,0)</f>
        <v>0</v>
      </c>
      <c r="F35" s="8">
        <f>_xlfn.XLOOKUP(A35,'[1]Leirsund 2'!$A$10:$A$16,'[1]Leirsund 2'!$C$10:$C$16,0)</f>
        <v>0</v>
      </c>
      <c r="G35" s="8">
        <f>_xlfn.XLOOKUP(A35,'[1]A-lag'!$A$10:$A$19,'[1]A-lag'!$C$10:$C$19,0)</f>
        <v>0</v>
      </c>
      <c r="H35" s="8">
        <f>_xlfn.XLOOKUP(A35,[1]Svømming!$A$9:$A$10,[1]Svømming!$C$9:$C$10,0)</f>
        <v>0</v>
      </c>
      <c r="I35" s="8">
        <f>_xlfn.XLOOKUP(A35,[1]eSport!$A$9:$A$15,[1]eSport!$C$9:$C$15,0)</f>
        <v>0</v>
      </c>
      <c r="J35" s="8">
        <f>_xlfn.XLOOKUP(A35,[1]Futsal!$A$9:$A$14,[1]Futsal!$C$9:$C$14,0)</f>
        <v>0</v>
      </c>
      <c r="K35" s="8">
        <f>_xlfn.XLOOKUP(A35,[1]Drift!$A$11:$A$27,[1]Drift!$C$11:$C$27,0)</f>
        <v>0</v>
      </c>
      <c r="L35" s="8">
        <f>_xlfn.XLOOKUP(A35,[1]Adm!$A$13:$A$24,[1]Adm!$C$13:$C$24,0)</f>
        <v>0</v>
      </c>
      <c r="N35" s="5"/>
    </row>
    <row r="36" spans="1:14">
      <c r="A36" s="5" t="str">
        <v>7410 Kontingent, ikke fradragsberettiget</v>
      </c>
      <c r="B36" s="8">
        <f t="shared" si="2"/>
        <v>17125</v>
      </c>
      <c r="C36" s="8">
        <f>_xlfn.XLOOKUP(A36,[1]Skigruppa!$A$14:$A$33,[1]Skigruppa!$C$14:$C$33,0)</f>
        <v>0</v>
      </c>
      <c r="D36" s="8">
        <f>_xlfn.XLOOKUP(A36,[1]Junior!$A$9:$A$17,[1]Junior!$C$9:$C$17,0)</f>
        <v>4000</v>
      </c>
      <c r="E36" s="8">
        <f>_xlfn.XLOOKUP(A36,[1]Damer!$A$9:$A$15,[1]Damer!$C$9:$C$15,0)</f>
        <v>3125</v>
      </c>
      <c r="F36" s="8">
        <f>_xlfn.XLOOKUP(A36,'[1]Leirsund 2'!$A$10:$A$16,'[1]Leirsund 2'!$C$10:$C$16,0)</f>
        <v>4000</v>
      </c>
      <c r="G36" s="8">
        <f>_xlfn.XLOOKUP(A36,'[1]A-lag'!$A$10:$A$19,'[1]A-lag'!$C$10:$C$19,0)</f>
        <v>4000</v>
      </c>
      <c r="H36" s="8">
        <f>_xlfn.XLOOKUP(A36,[1]Svømming!$A$9:$A$10,[1]Svømming!$C$9:$C$10,0)</f>
        <v>0</v>
      </c>
      <c r="I36" s="8">
        <f>_xlfn.XLOOKUP(A36,[1]eSport!$A$9:$A$15,[1]eSport!$C$9:$C$15,0)</f>
        <v>0</v>
      </c>
      <c r="J36" s="8">
        <f>_xlfn.XLOOKUP(A36,[1]Futsal!$A$9:$A$14,[1]Futsal!$C$9:$C$14,0)</f>
        <v>0</v>
      </c>
      <c r="K36" s="8">
        <f>_xlfn.XLOOKUP(A36,[1]Drift!$A$11:$A$27,[1]Drift!$C$11:$C$27,0)</f>
        <v>0</v>
      </c>
      <c r="L36" s="8">
        <f>_xlfn.XLOOKUP(A36,[1]Adm!$A$13:$A$24,[1]Adm!$C$13:$C$24,0)</f>
        <v>2000</v>
      </c>
      <c r="N36" s="5"/>
    </row>
    <row r="37" spans="1:14">
      <c r="A37" s="5" t="str">
        <v>7420 Gaver, fradragsberettigede</v>
      </c>
      <c r="B37" s="8">
        <f t="shared" si="2"/>
        <v>7000</v>
      </c>
      <c r="C37" s="8">
        <f>_xlfn.XLOOKUP(A37,[1]Skigruppa!$A$14:$A$33,[1]Skigruppa!$C$14:$C$33,0)</f>
        <v>6000</v>
      </c>
      <c r="D37" s="8">
        <f>_xlfn.XLOOKUP(A37,[1]Junior!$A$9:$A$17,[1]Junior!$C$9:$C$17,0)</f>
        <v>0</v>
      </c>
      <c r="E37" s="8">
        <f>_xlfn.XLOOKUP(A37,[1]Damer!$A$9:$A$15,[1]Damer!$C$9:$C$15,0)</f>
        <v>1000</v>
      </c>
      <c r="F37" s="8">
        <f>_xlfn.XLOOKUP(A37,'[1]Leirsund 2'!$A$10:$A$16,'[1]Leirsund 2'!$C$10:$C$16,0)</f>
        <v>0</v>
      </c>
      <c r="G37" s="8">
        <f>_xlfn.XLOOKUP(A37,'[1]A-lag'!$A$10:$A$19,'[1]A-lag'!$C$10:$C$19,0)</f>
        <v>0</v>
      </c>
      <c r="H37" s="8">
        <f>_xlfn.XLOOKUP(A37,[1]Svømming!$A$9:$A$10,[1]Svømming!$C$9:$C$10,0)</f>
        <v>0</v>
      </c>
      <c r="I37" s="8">
        <f>_xlfn.XLOOKUP(A37,[1]eSport!$A$9:$A$15,[1]eSport!$C$9:$C$15,0)</f>
        <v>0</v>
      </c>
      <c r="J37" s="8">
        <f>_xlfn.XLOOKUP(A37,[1]Futsal!$A$9:$A$14,[1]Futsal!$C$9:$C$14,0)</f>
        <v>0</v>
      </c>
      <c r="K37" s="8">
        <f>_xlfn.XLOOKUP(A37,[1]Drift!$A$11:$A$27,[1]Drift!$C$11:$C$27,0)</f>
        <v>0</v>
      </c>
      <c r="L37" s="8">
        <f>_xlfn.XLOOKUP(A37,[1]Adm!$A$13:$A$24,[1]Adm!$C$13:$C$24,0)</f>
        <v>0</v>
      </c>
      <c r="N37" s="5" t="s">
        <v>128</v>
      </c>
    </row>
    <row r="38" spans="1:14">
      <c r="A38" s="5" t="str">
        <v>7430 Gaver, ikke fradrag</v>
      </c>
      <c r="B38" s="8">
        <f t="shared" si="2"/>
        <v>2010</v>
      </c>
      <c r="C38" s="8">
        <f>_xlfn.XLOOKUP(A38,[1]Skigruppa!$A$14:$A$33,[1]Skigruppa!$C$14:$C$33,0)</f>
        <v>0</v>
      </c>
      <c r="D38" s="8">
        <f>_xlfn.XLOOKUP(A38,[1]Junior!$A$9:$A$17,[1]Junior!$C$9:$C$17,0)</f>
        <v>2010</v>
      </c>
      <c r="E38" s="8">
        <f>_xlfn.XLOOKUP(A38,[1]Damer!$A$9:$A$15,[1]Damer!$C$9:$C$15,0)</f>
        <v>0</v>
      </c>
      <c r="F38" s="8">
        <f>_xlfn.XLOOKUP(A38,'[1]Leirsund 2'!$A$10:$A$16,'[1]Leirsund 2'!$C$10:$C$16,0)</f>
        <v>0</v>
      </c>
      <c r="G38" s="8">
        <f>_xlfn.XLOOKUP(A38,'[1]A-lag'!$A$10:$A$19,'[1]A-lag'!$C$10:$C$19,0)</f>
        <v>0</v>
      </c>
      <c r="H38" s="8">
        <f>_xlfn.XLOOKUP(A38,[1]Svømming!$A$9:$A$10,[1]Svømming!$C$9:$C$10,0)</f>
        <v>0</v>
      </c>
      <c r="I38" s="8">
        <f>_xlfn.XLOOKUP(A38,[1]eSport!$A$9:$A$15,[1]eSport!$C$9:$C$15,0)</f>
        <v>0</v>
      </c>
      <c r="J38" s="8">
        <f>_xlfn.XLOOKUP(A38,[1]Futsal!$A$9:$A$14,[1]Futsal!$C$9:$C$14,0)</f>
        <v>0</v>
      </c>
      <c r="K38" s="8">
        <f>_xlfn.XLOOKUP(A38,[1]Drift!$A$11:$A$27,[1]Drift!$C$11:$C$27,0)</f>
        <v>0</v>
      </c>
      <c r="L38" s="8">
        <f>_xlfn.XLOOKUP(A38,[1]Adm!$A$13:$A$24,[1]Adm!$C$13:$C$24,0)</f>
        <v>0</v>
      </c>
      <c r="N38" s="5"/>
    </row>
    <row r="39" spans="1:14">
      <c r="A39" s="5" t="str">
        <v>7500 Forsikringspremier</v>
      </c>
      <c r="B39" s="8">
        <f t="shared" si="2"/>
        <v>50000</v>
      </c>
      <c r="C39" s="8">
        <f>_xlfn.XLOOKUP(A39,[1]Skigruppa!$A$14:$A$33,[1]Skigruppa!$C$14:$C$33,0)</f>
        <v>30000</v>
      </c>
      <c r="D39" s="8">
        <f>_xlfn.XLOOKUP(A39,[1]Junior!$A$9:$A$17,[1]Junior!$C$9:$C$17,0)</f>
        <v>0</v>
      </c>
      <c r="E39" s="8">
        <f>_xlfn.XLOOKUP(A39,[1]Damer!$A$9:$A$15,[1]Damer!$C$9:$C$15,0)</f>
        <v>0</v>
      </c>
      <c r="F39" s="8">
        <f>_xlfn.XLOOKUP(A39,'[1]Leirsund 2'!$A$10:$A$16,'[1]Leirsund 2'!$C$10:$C$16,0)</f>
        <v>0</v>
      </c>
      <c r="G39" s="8">
        <f>_xlfn.XLOOKUP(A39,'[1]A-lag'!$A$10:$A$19,'[1]A-lag'!$C$10:$C$19,0)</f>
        <v>0</v>
      </c>
      <c r="H39" s="8">
        <f>_xlfn.XLOOKUP(A39,[1]Svømming!$A$9:$A$10,[1]Svømming!$C$9:$C$10,0)</f>
        <v>0</v>
      </c>
      <c r="I39" s="8">
        <f>_xlfn.XLOOKUP(A39,[1]eSport!$A$9:$A$15,[1]eSport!$C$9:$C$15,0)</f>
        <v>0</v>
      </c>
      <c r="J39" s="8">
        <f>_xlfn.XLOOKUP(A39,[1]Futsal!$A$9:$A$14,[1]Futsal!$C$9:$C$14,0)</f>
        <v>0</v>
      </c>
      <c r="K39" s="8">
        <f>_xlfn.XLOOKUP(A39,[1]Drift!$A$11:$A$27,[1]Drift!$C$11:$C$27,0)</f>
        <v>20000</v>
      </c>
      <c r="L39" s="8">
        <f>_xlfn.XLOOKUP(A39,[1]Adm!$A$13:$A$24,[1]Adm!$C$13:$C$24,0)</f>
        <v>0</v>
      </c>
      <c r="N39" s="5" t="s">
        <v>129</v>
      </c>
    </row>
    <row r="40" spans="1:14">
      <c r="A40" s="5" t="str">
        <v>7790 Andre kostnader</v>
      </c>
      <c r="B40" s="8">
        <f t="shared" si="2"/>
        <v>40500</v>
      </c>
      <c r="C40" s="8">
        <f>_xlfn.XLOOKUP(A40,[1]Skigruppa!$A$14:$A$33,[1]Skigruppa!$C$14:$C$33,0)</f>
        <v>30000</v>
      </c>
      <c r="D40" s="8">
        <f>_xlfn.XLOOKUP(A40,[1]Junior!$A$9:$A$17,[1]Junior!$C$9:$C$17,0)</f>
        <v>0</v>
      </c>
      <c r="E40" s="8">
        <f>_xlfn.XLOOKUP(A40,[1]Damer!$A$9:$A$15,[1]Damer!$C$9:$C$15,0)</f>
        <v>0</v>
      </c>
      <c r="F40" s="8">
        <f>_xlfn.XLOOKUP(A40,'[1]Leirsund 2'!$A$10:$A$16,'[1]Leirsund 2'!$C$10:$C$16,0)</f>
        <v>0</v>
      </c>
      <c r="G40" s="8">
        <f>_xlfn.XLOOKUP(A40,'[1]A-lag'!$A$10:$A$19,'[1]A-lag'!$C$10:$C$19,0)</f>
        <v>500</v>
      </c>
      <c r="H40" s="8">
        <f>_xlfn.XLOOKUP(A40,[1]Svømming!$A$9:$A$10,[1]Svømming!$C$9:$C$10,0)</f>
        <v>0</v>
      </c>
      <c r="I40" s="8">
        <f>_xlfn.XLOOKUP(A40,[1]eSport!$A$9:$A$15,[1]eSport!$C$9:$C$15,0)</f>
        <v>10000</v>
      </c>
      <c r="J40" s="8">
        <f>_xlfn.XLOOKUP(A40,[1]Futsal!$A$9:$A$14,[1]Futsal!$C$9:$C$14,0)</f>
        <v>0</v>
      </c>
      <c r="K40" s="8">
        <f>_xlfn.XLOOKUP(A40,[1]Drift!$A$11:$A$27,[1]Drift!$C$11:$C$27,0)</f>
        <v>0</v>
      </c>
      <c r="L40" s="8">
        <f>_xlfn.XLOOKUP(A40,[1]Adm!$A$13:$A$24,[1]Adm!$C$13:$C$24,0)</f>
        <v>0</v>
      </c>
      <c r="N40" s="5" t="s">
        <v>130</v>
      </c>
    </row>
    <row r="41" spans="1:14">
      <c r="A41" s="5" t="str">
        <v>6580 Idrettsutstyr</v>
      </c>
      <c r="B41" s="8">
        <f t="shared" si="2"/>
        <v>66000</v>
      </c>
      <c r="C41" s="8">
        <f>_xlfn.XLOOKUP(A41,[1]Skigruppa!$A$14:$A$33,[1]Skigruppa!$C$14:$C$33,0)</f>
        <v>0</v>
      </c>
      <c r="D41" s="8">
        <f>_xlfn.XLOOKUP(A41,[1]Junior!$A$9:$A$17,[1]Junior!$C$9:$C$17,0)</f>
        <v>10000</v>
      </c>
      <c r="E41" s="8">
        <f>_xlfn.XLOOKUP(A41,[1]Damer!$A$9:$A$15,[1]Damer!$C$9:$C$15,0)</f>
        <v>15000</v>
      </c>
      <c r="F41" s="8">
        <f>_xlfn.XLOOKUP(A41,'[1]Leirsund 2'!$A$10:$A$16,'[1]Leirsund 2'!$C$10:$C$16,0)</f>
        <v>15000</v>
      </c>
      <c r="G41" s="8">
        <f>_xlfn.XLOOKUP(A41,'[1]A-lag'!$A$10:$A$19,'[1]A-lag'!$C$10:$C$19,0)</f>
        <v>25000</v>
      </c>
      <c r="H41" s="8">
        <f>_xlfn.XLOOKUP(A41,[1]Svømming!$A$9:$A$10,[1]Svømming!$C$9:$C$10,0)</f>
        <v>1000</v>
      </c>
      <c r="I41" s="8">
        <f>_xlfn.XLOOKUP(A41,[1]eSport!$A$9:$A$15,[1]eSport!$C$9:$C$15,0)</f>
        <v>0</v>
      </c>
      <c r="J41" s="8">
        <f>_xlfn.XLOOKUP(A41,[1]Futsal!$A$9:$A$14,[1]Futsal!$C$9:$C$14,0)</f>
        <v>0</v>
      </c>
      <c r="K41" s="8">
        <f>_xlfn.XLOOKUP(A41,[1]Drift!$A$11:$A$27,[1]Drift!$C$11:$C$27,0)</f>
        <v>0</v>
      </c>
      <c r="L41" s="8">
        <f>_xlfn.XLOOKUP(A41,[1]Adm!$A$13:$A$24,[1]Adm!$C$13:$C$24,0)</f>
        <v>0</v>
      </c>
      <c r="N41" s="5"/>
    </row>
    <row r="42" spans="1:14">
      <c r="A42" s="5" t="str">
        <v>6860 Møter, kurs, oppdatering etc.</v>
      </c>
      <c r="B42" s="8">
        <f t="shared" si="2"/>
        <v>3200</v>
      </c>
      <c r="C42" s="8">
        <f>_xlfn.XLOOKUP(A42,[1]Skigruppa!$A$14:$A$33,[1]Skigruppa!$C$14:$C$33,0)</f>
        <v>0</v>
      </c>
      <c r="D42" s="8">
        <f>_xlfn.XLOOKUP(A42,[1]Junior!$A$9:$A$17,[1]Junior!$C$9:$C$17,0)</f>
        <v>3200</v>
      </c>
      <c r="E42" s="8">
        <f>_xlfn.XLOOKUP(A42,[1]Damer!$A$9:$A$15,[1]Damer!$C$9:$C$15,0)</f>
        <v>0</v>
      </c>
      <c r="F42" s="8">
        <f>_xlfn.XLOOKUP(A42,'[1]Leirsund 2'!$A$10:$A$16,'[1]Leirsund 2'!$C$10:$C$16,0)</f>
        <v>0</v>
      </c>
      <c r="G42" s="8">
        <f>_xlfn.XLOOKUP(A42,'[1]A-lag'!$A$10:$A$19,'[1]A-lag'!$C$10:$C$19,0)</f>
        <v>0</v>
      </c>
      <c r="H42" s="8">
        <f>_xlfn.XLOOKUP(A42,[1]Svømming!$A$9:$A$10,[1]Svømming!$C$9:$C$10,0)</f>
        <v>0</v>
      </c>
      <c r="I42" s="8">
        <f>_xlfn.XLOOKUP(A42,[1]eSport!$A$9:$A$15,[1]eSport!$C$9:$C$15,0)</f>
        <v>0</v>
      </c>
      <c r="J42" s="8">
        <f>_xlfn.XLOOKUP(A42,[1]Futsal!$A$9:$A$14,[1]Futsal!$C$9:$C$14,0)</f>
        <v>0</v>
      </c>
      <c r="K42" s="8">
        <f>_xlfn.XLOOKUP(A42,[1]Drift!$A$11:$A$27,[1]Drift!$C$11:$C$27,0)</f>
        <v>0</v>
      </c>
      <c r="L42" s="8">
        <f>_xlfn.XLOOKUP(A42,[1]Adm!$A$13:$A$24,[1]Adm!$C$13:$C$24,0)</f>
        <v>0</v>
      </c>
      <c r="N42" s="5" t="s">
        <v>131</v>
      </c>
    </row>
    <row r="43" spans="1:14">
      <c r="A43" s="5" t="str">
        <v>7144 Hotell</v>
      </c>
      <c r="B43" s="8">
        <f t="shared" si="2"/>
        <v>20000</v>
      </c>
      <c r="C43" s="8">
        <f>_xlfn.XLOOKUP(A43,[1]Skigruppa!$A$14:$A$33,[1]Skigruppa!$C$14:$C$33,0)</f>
        <v>0</v>
      </c>
      <c r="D43" s="8">
        <f>_xlfn.XLOOKUP(A43,[1]Junior!$A$9:$A$17,[1]Junior!$C$9:$C$17,0)</f>
        <v>20000</v>
      </c>
      <c r="E43" s="8">
        <f>_xlfn.XLOOKUP(A43,[1]Damer!$A$9:$A$15,[1]Damer!$C$9:$C$15,0)</f>
        <v>0</v>
      </c>
      <c r="F43" s="8">
        <f>_xlfn.XLOOKUP(A43,'[1]Leirsund 2'!$A$10:$A$16,'[1]Leirsund 2'!$C$10:$C$16,0)</f>
        <v>0</v>
      </c>
      <c r="G43" s="8">
        <f>_xlfn.XLOOKUP(A43,'[1]A-lag'!$A$10:$A$19,'[1]A-lag'!$C$10:$C$19,0)</f>
        <v>0</v>
      </c>
      <c r="H43" s="8">
        <f>_xlfn.XLOOKUP(A43,[1]Svømming!$A$9:$A$10,[1]Svømming!$C$9:$C$10,0)</f>
        <v>0</v>
      </c>
      <c r="I43" s="8">
        <f>_xlfn.XLOOKUP(A43,[1]eSport!$A$9:$A$15,[1]eSport!$C$9:$C$15,0)</f>
        <v>0</v>
      </c>
      <c r="J43" s="8">
        <f>_xlfn.XLOOKUP(A43,[1]Futsal!$A$9:$A$14,[1]Futsal!$C$9:$C$14,0)</f>
        <v>0</v>
      </c>
      <c r="K43" s="8">
        <f>_xlfn.XLOOKUP(A43,[1]Drift!$A$11:$A$27,[1]Drift!$C$11:$C$27,0)</f>
        <v>0</v>
      </c>
      <c r="L43" s="8">
        <f>_xlfn.XLOOKUP(A43,[1]Adm!$A$13:$A$24,[1]Adm!$C$13:$C$24,0)</f>
        <v>0</v>
      </c>
      <c r="N43" s="5" t="s">
        <v>132</v>
      </c>
    </row>
    <row r="44" spans="1:14">
      <c r="A44" s="5" t="str">
        <v>5920 Yrkesskadeforsikring</v>
      </c>
      <c r="B44" s="8">
        <f t="shared" si="2"/>
        <v>43450</v>
      </c>
      <c r="C44" s="8">
        <f>_xlfn.XLOOKUP(A44,[1]Skigruppa!$A$14:$A$33,[1]Skigruppa!$C$14:$C$33,0)</f>
        <v>0</v>
      </c>
      <c r="D44" s="8">
        <f>_xlfn.XLOOKUP(A44,[1]Junior!$A$9:$A$17,[1]Junior!$C$9:$C$17,0)</f>
        <v>0</v>
      </c>
      <c r="E44" s="8">
        <f>_xlfn.XLOOKUP(A44,[1]Damer!$A$9:$A$15,[1]Damer!$C$9:$C$15,0)</f>
        <v>7950</v>
      </c>
      <c r="F44" s="8">
        <f>_xlfn.XLOOKUP(A44,'[1]Leirsund 2'!$A$10:$A$16,'[1]Leirsund 2'!$C$10:$C$16,0)</f>
        <v>18000</v>
      </c>
      <c r="G44" s="8">
        <f>_xlfn.XLOOKUP(A44,'[1]A-lag'!$A$10:$A$19,'[1]A-lag'!$C$10:$C$19,0)</f>
        <v>17500</v>
      </c>
      <c r="H44" s="8">
        <f>_xlfn.XLOOKUP(A44,[1]Svømming!$A$9:$A$10,[1]Svømming!$C$9:$C$10,0)</f>
        <v>0</v>
      </c>
      <c r="I44" s="8">
        <f>_xlfn.XLOOKUP(A44,[1]eSport!$A$9:$A$15,[1]eSport!$C$9:$C$15,0)</f>
        <v>0</v>
      </c>
      <c r="J44" s="8">
        <f>_xlfn.XLOOKUP(A44,[1]Futsal!$A$9:$A$14,[1]Futsal!$C$9:$C$14,0)</f>
        <v>0</v>
      </c>
      <c r="K44" s="8">
        <f>_xlfn.XLOOKUP(A44,[1]Drift!$A$11:$A$27,[1]Drift!$C$11:$C$27,0)</f>
        <v>0</v>
      </c>
      <c r="L44" s="8">
        <f>_xlfn.XLOOKUP(A44,[1]Adm!$A$13:$A$24,[1]Adm!$C$13:$C$24,0)</f>
        <v>0</v>
      </c>
      <c r="N44" s="5" t="s">
        <v>133</v>
      </c>
    </row>
    <row r="45" spans="1:14">
      <c r="A45" s="5" t="str">
        <v>7415 Påmelding serier, turneringer etc</v>
      </c>
      <c r="B45" s="8">
        <f t="shared" si="2"/>
        <v>21700</v>
      </c>
      <c r="C45" s="8">
        <f>_xlfn.XLOOKUP(A45,[1]Skigruppa!$A$14:$A$33,[1]Skigruppa!$C$14:$C$33,0)</f>
        <v>0</v>
      </c>
      <c r="D45" s="8">
        <f>_xlfn.XLOOKUP(A45,[1]Junior!$A$9:$A$17,[1]Junior!$C$9:$C$17,0)</f>
        <v>10000</v>
      </c>
      <c r="E45" s="8">
        <f>_xlfn.XLOOKUP(A45,[1]Damer!$A$9:$A$15,[1]Damer!$C$9:$C$15,0)</f>
        <v>1500</v>
      </c>
      <c r="F45" s="8">
        <f>_xlfn.XLOOKUP(A45,'[1]Leirsund 2'!$A$10:$A$16,'[1]Leirsund 2'!$C$10:$C$16,0)</f>
        <v>4000</v>
      </c>
      <c r="G45" s="8">
        <f>_xlfn.XLOOKUP(A45,'[1]A-lag'!$A$10:$A$19,'[1]A-lag'!$C$10:$C$19,0)</f>
        <v>6200</v>
      </c>
      <c r="H45" s="8">
        <f>_xlfn.XLOOKUP(A45,[1]Svømming!$A$9:$A$10,[1]Svømming!$C$9:$C$10,0)</f>
        <v>0</v>
      </c>
      <c r="I45" s="8">
        <f>_xlfn.XLOOKUP(A45,[1]eSport!$A$9:$A$15,[1]eSport!$C$9:$C$15,0)</f>
        <v>0</v>
      </c>
      <c r="J45" s="8">
        <f>_xlfn.XLOOKUP(A45,[1]Futsal!$A$9:$A$14,[1]Futsal!$C$9:$C$14,0)</f>
        <v>0</v>
      </c>
      <c r="K45" s="8">
        <f>_xlfn.XLOOKUP(A45,[1]Drift!$A$11:$A$27,[1]Drift!$C$11:$C$27,0)</f>
        <v>0</v>
      </c>
      <c r="L45" s="8">
        <f>_xlfn.XLOOKUP(A45,[1]Adm!$A$13:$A$24,[1]Adm!$C$13:$C$24,0)</f>
        <v>0</v>
      </c>
      <c r="N45" s="5"/>
    </row>
    <row r="46" spans="1:14">
      <c r="A46" s="5" t="str">
        <v>5000 Lønn, honorar etc</v>
      </c>
      <c r="B46" s="8">
        <f t="shared" si="2"/>
        <v>208200</v>
      </c>
      <c r="C46" s="8">
        <f>_xlfn.XLOOKUP(A46,[1]Skigruppa!$A$14:$A$33,[1]Skigruppa!$C$14:$C$33,0)</f>
        <v>0</v>
      </c>
      <c r="D46" s="8">
        <f>_xlfn.XLOOKUP(A46,[1]Junior!$A$9:$A$17,[1]Junior!$C$9:$C$17,0)</f>
        <v>0</v>
      </c>
      <c r="E46" s="8">
        <f>_xlfn.XLOOKUP(A46,[1]Damer!$A$9:$A$15,[1]Damer!$C$9:$C$15,0)</f>
        <v>0</v>
      </c>
      <c r="F46" s="8">
        <f>_xlfn.XLOOKUP(A46,'[1]Leirsund 2'!$A$10:$A$16,'[1]Leirsund 2'!$C$10:$C$16,0)</f>
        <v>0</v>
      </c>
      <c r="G46" s="8">
        <f>_xlfn.XLOOKUP(A46,'[1]A-lag'!$A$10:$A$19,'[1]A-lag'!$C$10:$C$19,0)</f>
        <v>70000</v>
      </c>
      <c r="H46" s="8">
        <f>_xlfn.XLOOKUP(A46,[1]Svømming!$A$9:$A$10,[1]Svømming!$C$9:$C$10,0)</f>
        <v>0</v>
      </c>
      <c r="I46" s="8">
        <f>_xlfn.XLOOKUP(A46,[1]eSport!$A$9:$A$15,[1]eSport!$C$9:$C$15,0)</f>
        <v>25200</v>
      </c>
      <c r="J46" s="8">
        <f>_xlfn.XLOOKUP(A46,[1]Futsal!$A$9:$A$14,[1]Futsal!$C$9:$C$14,0)</f>
        <v>0</v>
      </c>
      <c r="K46" s="8">
        <f>_xlfn.XLOOKUP(A46,[1]Drift!$A$11:$A$27,[1]Drift!$C$11:$C$27,0)</f>
        <v>103000</v>
      </c>
      <c r="L46" s="8">
        <f>_xlfn.XLOOKUP(A46,[1]Adm!$A$13:$A$24,[1]Adm!$C$13:$C$24,0)</f>
        <v>10000</v>
      </c>
      <c r="N46" s="5" t="s">
        <v>134</v>
      </c>
    </row>
    <row r="47" spans="1:14">
      <c r="A47" s="5" t="str">
        <v>5180 Feriepenger beregnet</v>
      </c>
      <c r="B47" s="8">
        <f t="shared" si="2"/>
        <v>18700</v>
      </c>
      <c r="C47" s="8">
        <f>_xlfn.XLOOKUP(A47,[1]Skigruppa!$A$14:$A$33,[1]Skigruppa!$C$14:$C$33,0)</f>
        <v>0</v>
      </c>
      <c r="D47" s="8">
        <f>_xlfn.XLOOKUP(A47,[1]Junior!$A$9:$A$17,[1]Junior!$C$9:$C$17,0)</f>
        <v>0</v>
      </c>
      <c r="E47" s="8">
        <f>_xlfn.XLOOKUP(A47,[1]Damer!$A$9:$A$15,[1]Damer!$C$9:$C$15,0)</f>
        <v>0</v>
      </c>
      <c r="F47" s="8">
        <f>_xlfn.XLOOKUP(A47,'[1]Leirsund 2'!$A$10:$A$16,'[1]Leirsund 2'!$C$10:$C$16,0)</f>
        <v>0</v>
      </c>
      <c r="G47" s="8">
        <f>_xlfn.XLOOKUP(A47,'[1]A-lag'!$A$10:$A$19,'[1]A-lag'!$C$10:$C$19,0)</f>
        <v>6100</v>
      </c>
      <c r="H47" s="8">
        <f>_xlfn.XLOOKUP(A47,[1]Svømming!$A$9:$A$10,[1]Svømming!$C$9:$C$10,0)</f>
        <v>0</v>
      </c>
      <c r="I47" s="8">
        <f>_xlfn.XLOOKUP(A47,[1]eSport!$A$9:$A$15,[1]eSport!$C$9:$C$15,0)</f>
        <v>2600</v>
      </c>
      <c r="J47" s="8">
        <f>_xlfn.XLOOKUP(A47,[1]Futsal!$A$9:$A$14,[1]Futsal!$C$9:$C$14,0)</f>
        <v>0</v>
      </c>
      <c r="K47" s="8">
        <f>_xlfn.XLOOKUP(A47,[1]Drift!$A$11:$A$27,[1]Drift!$C$11:$C$27,0)</f>
        <v>10000</v>
      </c>
      <c r="L47" s="8">
        <f>_xlfn.XLOOKUP(A47,[1]Adm!$A$13:$A$24,[1]Adm!$C$13:$C$24,0)</f>
        <v>0</v>
      </c>
      <c r="N47" s="5"/>
    </row>
    <row r="48" spans="1:14">
      <c r="A48" s="5" t="str">
        <v>6010 Avskrivninger transp.midler, maskiner og inventar</v>
      </c>
      <c r="B48" s="8">
        <f t="shared" si="2"/>
        <v>31893</v>
      </c>
      <c r="C48" s="8">
        <f>_xlfn.XLOOKUP(A48,[1]Skigruppa!$A$14:$A$33,[1]Skigruppa!$C$14:$C$33,0)</f>
        <v>0</v>
      </c>
      <c r="D48" s="8">
        <f>_xlfn.XLOOKUP(A48,[1]Junior!$A$9:$A$17,[1]Junior!$C$9:$C$17,0)</f>
        <v>0</v>
      </c>
      <c r="E48" s="8">
        <f>_xlfn.XLOOKUP(A48,[1]Damer!$A$9:$A$15,[1]Damer!$C$9:$C$15,0)</f>
        <v>0</v>
      </c>
      <c r="F48" s="8">
        <f>_xlfn.XLOOKUP(A48,'[1]Leirsund 2'!$A$10:$A$16,'[1]Leirsund 2'!$C$10:$C$16,0)</f>
        <v>0</v>
      </c>
      <c r="G48" s="8">
        <f>_xlfn.XLOOKUP(A48,'[1]A-lag'!$A$10:$A$19,'[1]A-lag'!$C$10:$C$19,0)</f>
        <v>0</v>
      </c>
      <c r="H48" s="8">
        <f>_xlfn.XLOOKUP(A48,[1]Svømming!$A$9:$A$10,[1]Svømming!$C$9:$C$10,0)</f>
        <v>0</v>
      </c>
      <c r="I48" s="8">
        <f>_xlfn.XLOOKUP(A48,[1]eSport!$A$9:$A$15,[1]eSport!$C$9:$C$15,0)</f>
        <v>0</v>
      </c>
      <c r="J48" s="8">
        <f>_xlfn.XLOOKUP(A48,[1]Futsal!$A$9:$A$14,[1]Futsal!$C$9:$C$14,0)</f>
        <v>0</v>
      </c>
      <c r="K48" s="8">
        <f>_xlfn.XLOOKUP(A48,[1]Drift!$A$11:$A$27,[1]Drift!$C$11:$C$27,0)</f>
        <v>6860</v>
      </c>
      <c r="L48" s="8">
        <f>_xlfn.XLOOKUP(A48,[1]Adm!$A$13:$A$24,[1]Adm!$C$13:$C$24,0)</f>
        <v>25033</v>
      </c>
      <c r="N48" s="5"/>
    </row>
    <row r="49" spans="1:14">
      <c r="A49" s="5" t="str">
        <v>6360 Renhold</v>
      </c>
      <c r="B49" s="8">
        <f t="shared" si="2"/>
        <v>35000</v>
      </c>
      <c r="C49" s="8">
        <f>_xlfn.XLOOKUP(A49,[1]Skigruppa!$A$14:$A$33,[1]Skigruppa!$C$14:$C$33,0)</f>
        <v>0</v>
      </c>
      <c r="D49" s="8">
        <f>_xlfn.XLOOKUP(A49,[1]Junior!$A$9:$A$17,[1]Junior!$C$9:$C$17,0)</f>
        <v>0</v>
      </c>
      <c r="E49" s="8">
        <f>_xlfn.XLOOKUP(A49,[1]Damer!$A$9:$A$15,[1]Damer!$C$9:$C$15,0)</f>
        <v>0</v>
      </c>
      <c r="F49" s="8">
        <f>_xlfn.XLOOKUP(A49,'[1]Leirsund 2'!$A$10:$A$16,'[1]Leirsund 2'!$C$10:$C$16,0)</f>
        <v>0</v>
      </c>
      <c r="G49" s="8">
        <f>_xlfn.XLOOKUP(A49,'[1]A-lag'!$A$10:$A$19,'[1]A-lag'!$C$10:$C$19,0)</f>
        <v>0</v>
      </c>
      <c r="H49" s="8">
        <f>_xlfn.XLOOKUP(A49,[1]Svømming!$A$9:$A$10,[1]Svømming!$C$9:$C$10,0)</f>
        <v>0</v>
      </c>
      <c r="I49" s="8">
        <f>_xlfn.XLOOKUP(A49,[1]eSport!$A$9:$A$15,[1]eSport!$C$9:$C$15,0)</f>
        <v>0</v>
      </c>
      <c r="J49" s="8">
        <f>_xlfn.XLOOKUP(A49,[1]Futsal!$A$9:$A$14,[1]Futsal!$C$9:$C$14,0)</f>
        <v>0</v>
      </c>
      <c r="K49" s="8">
        <f>_xlfn.XLOOKUP(A49,[1]Drift!$A$11:$A$27,[1]Drift!$C$11:$C$27,0)</f>
        <v>35000</v>
      </c>
      <c r="L49" s="8">
        <f>_xlfn.XLOOKUP(A49,[1]Adm!$A$13:$A$24,[1]Adm!$C$13:$C$24,0)</f>
        <v>0</v>
      </c>
      <c r="N49" s="5"/>
    </row>
    <row r="50" spans="1:14">
      <c r="A50" s="5" t="str">
        <v>6399 Annen kostnad lokaler</v>
      </c>
      <c r="B50" s="8">
        <f t="shared" si="2"/>
        <v>1500</v>
      </c>
      <c r="C50" s="8">
        <f>_xlfn.XLOOKUP(A50,[1]Skigruppa!$A$14:$A$33,[1]Skigruppa!$C$14:$C$33,0)</f>
        <v>0</v>
      </c>
      <c r="D50" s="8">
        <f>_xlfn.XLOOKUP(A50,[1]Junior!$A$9:$A$17,[1]Junior!$C$9:$C$17,0)</f>
        <v>0</v>
      </c>
      <c r="E50" s="8">
        <f>_xlfn.XLOOKUP(A50,[1]Damer!$A$9:$A$15,[1]Damer!$C$9:$C$15,0)</f>
        <v>0</v>
      </c>
      <c r="F50" s="8">
        <f>_xlfn.XLOOKUP(A50,'[1]Leirsund 2'!$A$10:$A$16,'[1]Leirsund 2'!$C$10:$C$16,0)</f>
        <v>0</v>
      </c>
      <c r="G50" s="8">
        <f>_xlfn.XLOOKUP(A50,'[1]A-lag'!$A$10:$A$19,'[1]A-lag'!$C$10:$C$19,0)</f>
        <v>0</v>
      </c>
      <c r="H50" s="8">
        <f>_xlfn.XLOOKUP(A50,[1]Svømming!$A$9:$A$10,[1]Svømming!$C$9:$C$10,0)</f>
        <v>0</v>
      </c>
      <c r="I50" s="8">
        <f>_xlfn.XLOOKUP(A50,[1]eSport!$A$9:$A$15,[1]eSport!$C$9:$C$15,0)</f>
        <v>0</v>
      </c>
      <c r="J50" s="8">
        <f>_xlfn.XLOOKUP(A50,[1]Futsal!$A$9:$A$14,[1]Futsal!$C$9:$C$14,0)</f>
        <v>0</v>
      </c>
      <c r="K50" s="8">
        <f>_xlfn.XLOOKUP(A50,[1]Drift!$A$11:$A$27,[1]Drift!$C$11:$C$27,0)</f>
        <v>1500</v>
      </c>
      <c r="L50" s="8">
        <f>_xlfn.XLOOKUP(A50,[1]Adm!$A$13:$A$24,[1]Adm!$C$13:$C$24,0)</f>
        <v>0</v>
      </c>
      <c r="N50" s="5"/>
    </row>
    <row r="51" spans="1:14">
      <c r="A51" s="5" t="str">
        <v>6890 Annen kontorkostnad</v>
      </c>
      <c r="B51" s="8">
        <f t="shared" si="2"/>
        <v>42000</v>
      </c>
      <c r="C51" s="8">
        <f>_xlfn.XLOOKUP(A51,[1]Skigruppa!$A$14:$A$33,[1]Skigruppa!$C$14:$C$33,0)</f>
        <v>0</v>
      </c>
      <c r="D51" s="8">
        <f>_xlfn.XLOOKUP(A51,[1]Junior!$A$9:$A$17,[1]Junior!$C$9:$C$17,0)</f>
        <v>0</v>
      </c>
      <c r="E51" s="8">
        <f>_xlfn.XLOOKUP(A51,[1]Damer!$A$9:$A$15,[1]Damer!$C$9:$C$15,0)</f>
        <v>0</v>
      </c>
      <c r="F51" s="8">
        <f>_xlfn.XLOOKUP(A51,'[1]Leirsund 2'!$A$10:$A$16,'[1]Leirsund 2'!$C$10:$C$16,0)</f>
        <v>0</v>
      </c>
      <c r="G51" s="8">
        <f>_xlfn.XLOOKUP(A51,'[1]A-lag'!$A$10:$A$19,'[1]A-lag'!$C$10:$C$19,0)</f>
        <v>0</v>
      </c>
      <c r="H51" s="8">
        <f>_xlfn.XLOOKUP(A51,[1]Svømming!$A$9:$A$10,[1]Svømming!$C$9:$C$10,0)</f>
        <v>0</v>
      </c>
      <c r="I51" s="8">
        <f>_xlfn.XLOOKUP(A51,[1]eSport!$A$9:$A$15,[1]eSport!$C$9:$C$15,0)</f>
        <v>0</v>
      </c>
      <c r="J51" s="8">
        <f>_xlfn.XLOOKUP(A51,[1]Futsal!$A$9:$A$14,[1]Futsal!$C$9:$C$14,0)</f>
        <v>0</v>
      </c>
      <c r="K51" s="8">
        <f>_xlfn.XLOOKUP(A51,[1]Drift!$A$11:$A$27,[1]Drift!$C$11:$C$27,0)</f>
        <v>40000</v>
      </c>
      <c r="L51" s="8">
        <f>_xlfn.XLOOKUP(A51,[1]Adm!$A$13:$A$24,[1]Adm!$C$13:$C$24,0)</f>
        <v>2000</v>
      </c>
      <c r="N51" s="5"/>
    </row>
    <row r="52" spans="1:14">
      <c r="A52" s="5" t="str">
        <v>7395 Øreavrunding</v>
      </c>
      <c r="B52" s="8">
        <f t="shared" si="2"/>
        <v>0</v>
      </c>
      <c r="C52" s="8">
        <f>_xlfn.XLOOKUP(A52,[1]Skigruppa!$A$14:$A$33,[1]Skigruppa!$C$14:$C$33,0)</f>
        <v>0</v>
      </c>
      <c r="D52" s="8">
        <f>_xlfn.XLOOKUP(A52,[1]Junior!$A$9:$A$17,[1]Junior!$C$9:$C$17,0)</f>
        <v>0</v>
      </c>
      <c r="E52" s="8">
        <f>_xlfn.XLOOKUP(A52,[1]Damer!$A$9:$A$15,[1]Damer!$C$9:$C$15,0)</f>
        <v>0</v>
      </c>
      <c r="F52" s="8">
        <f>_xlfn.XLOOKUP(A52,'[1]Leirsund 2'!$A$10:$A$16,'[1]Leirsund 2'!$C$10:$C$16,0)</f>
        <v>0</v>
      </c>
      <c r="G52" s="8">
        <f>_xlfn.XLOOKUP(A52,'[1]A-lag'!$A$10:$A$19,'[1]A-lag'!$C$10:$C$19,0)</f>
        <v>0</v>
      </c>
      <c r="H52" s="8">
        <f>_xlfn.XLOOKUP(A52,[1]Svømming!$A$9:$A$10,[1]Svømming!$C$9:$C$10,0)</f>
        <v>0</v>
      </c>
      <c r="I52" s="8">
        <f>_xlfn.XLOOKUP(A52,[1]eSport!$A$9:$A$15,[1]eSport!$C$9:$C$15,0)</f>
        <v>0</v>
      </c>
      <c r="J52" s="8">
        <f>_xlfn.XLOOKUP(A52,[1]Futsal!$A$9:$A$14,[1]Futsal!$C$9:$C$14,0)</f>
        <v>0</v>
      </c>
      <c r="K52" s="8">
        <f>_xlfn.XLOOKUP(A52,[1]Drift!$A$11:$A$27,[1]Drift!$C$11:$C$27,0)</f>
        <v>0</v>
      </c>
      <c r="L52" s="8">
        <f>_xlfn.XLOOKUP(A52,[1]Adm!$A$13:$A$24,[1]Adm!$C$13:$C$24,0)</f>
        <v>0</v>
      </c>
      <c r="N52" s="5"/>
    </row>
    <row r="53" spans="1:14">
      <c r="A53" s="5" t="str">
        <v>7830 Konstaterte tap på fordringer</v>
      </c>
      <c r="B53" s="8">
        <f t="shared" si="2"/>
        <v>1000</v>
      </c>
      <c r="C53" s="8">
        <f>_xlfn.XLOOKUP(A53,[1]Skigruppa!$A$14:$A$33,[1]Skigruppa!$C$14:$C$33,0)</f>
        <v>0</v>
      </c>
      <c r="D53" s="8">
        <f>_xlfn.XLOOKUP(A53,[1]Junior!$A$9:$A$17,[1]Junior!$C$9:$C$17,0)</f>
        <v>0</v>
      </c>
      <c r="E53" s="8">
        <f>_xlfn.XLOOKUP(A53,[1]Damer!$A$9:$A$15,[1]Damer!$C$9:$C$15,0)</f>
        <v>0</v>
      </c>
      <c r="F53" s="8">
        <f>_xlfn.XLOOKUP(A53,'[1]Leirsund 2'!$A$10:$A$16,'[1]Leirsund 2'!$C$10:$C$16,0)</f>
        <v>0</v>
      </c>
      <c r="G53" s="8">
        <f>_xlfn.XLOOKUP(A53,'[1]A-lag'!$A$10:$A$19,'[1]A-lag'!$C$10:$C$19,0)</f>
        <v>0</v>
      </c>
      <c r="H53" s="8">
        <f>_xlfn.XLOOKUP(A53,[1]Svømming!$A$9:$A$10,[1]Svømming!$C$9:$C$10,0)</f>
        <v>0</v>
      </c>
      <c r="I53" s="8">
        <f>_xlfn.XLOOKUP(A53,[1]eSport!$A$9:$A$15,[1]eSport!$C$9:$C$15,0)</f>
        <v>0</v>
      </c>
      <c r="J53" s="8">
        <f>_xlfn.XLOOKUP(A53,[1]Futsal!$A$9:$A$14,[1]Futsal!$C$9:$C$14,0)</f>
        <v>0</v>
      </c>
      <c r="K53" s="8">
        <f>_xlfn.XLOOKUP(A53,[1]Drift!$A$11:$A$27,[1]Drift!$C$11:$C$27,0)</f>
        <v>1000</v>
      </c>
      <c r="L53" s="8">
        <f>_xlfn.XLOOKUP(A53,[1]Adm!$A$13:$A$24,[1]Adm!$C$13:$C$24,0)</f>
        <v>0</v>
      </c>
      <c r="N53" s="5"/>
    </row>
    <row r="54" spans="1:14">
      <c r="A54" s="5" t="str">
        <v>6420 Leie datasystemer</v>
      </c>
      <c r="B54" s="8">
        <f t="shared" si="2"/>
        <v>30000</v>
      </c>
      <c r="C54" s="8">
        <f>_xlfn.XLOOKUP(A54,[1]Skigruppa!$A$14:$A$33,[1]Skigruppa!$C$14:$C$33,0)</f>
        <v>0</v>
      </c>
      <c r="D54" s="8">
        <f>_xlfn.XLOOKUP(A54,[1]Junior!$A$9:$A$17,[1]Junior!$C$9:$C$17,0)</f>
        <v>0</v>
      </c>
      <c r="E54" s="8">
        <f>_xlfn.XLOOKUP(A54,[1]Damer!$A$9:$A$15,[1]Damer!$C$9:$C$15,0)</f>
        <v>0</v>
      </c>
      <c r="F54" s="8">
        <f>_xlfn.XLOOKUP(A54,'[1]Leirsund 2'!$A$10:$A$16,'[1]Leirsund 2'!$C$10:$C$16,0)</f>
        <v>0</v>
      </c>
      <c r="G54" s="8">
        <f>_xlfn.XLOOKUP(A54,'[1]A-lag'!$A$10:$A$19,'[1]A-lag'!$C$10:$C$19,0)</f>
        <v>0</v>
      </c>
      <c r="H54" s="8">
        <f>_xlfn.XLOOKUP(A54,[1]Svømming!$A$9:$A$10,[1]Svømming!$C$9:$C$10,0)</f>
        <v>0</v>
      </c>
      <c r="I54" s="8">
        <f>_xlfn.XLOOKUP(A54,[1]eSport!$A$9:$A$15,[1]eSport!$C$9:$C$15,0)</f>
        <v>0</v>
      </c>
      <c r="J54" s="8">
        <f>_xlfn.XLOOKUP(A54,[1]Futsal!$A$9:$A$14,[1]Futsal!$C$9:$C$14,0)</f>
        <v>0</v>
      </c>
      <c r="K54" s="8">
        <f>_xlfn.XLOOKUP(A54,[1]Drift!$A$11:$A$27,[1]Drift!$C$11:$C$27,0)</f>
        <v>0</v>
      </c>
      <c r="L54" s="8">
        <f>_xlfn.XLOOKUP(A54,[1]Adm!$A$13:$A$24,[1]Adm!$C$13:$C$24,0)</f>
        <v>30000</v>
      </c>
      <c r="N54" s="5" t="s">
        <v>135</v>
      </c>
    </row>
    <row r="55" spans="1:14">
      <c r="A55" s="5" t="str">
        <v>6820 Trykksaker</v>
      </c>
      <c r="B55" s="8">
        <f t="shared" si="2"/>
        <v>25000</v>
      </c>
      <c r="C55" s="8">
        <f>_xlfn.XLOOKUP(A55,[1]Skigruppa!$A$14:$A$33,[1]Skigruppa!$C$14:$C$33,0)</f>
        <v>0</v>
      </c>
      <c r="D55" s="8">
        <f>_xlfn.XLOOKUP(A55,[1]Junior!$A$9:$A$17,[1]Junior!$C$9:$C$17,0)</f>
        <v>0</v>
      </c>
      <c r="E55" s="8">
        <f>_xlfn.XLOOKUP(A55,[1]Damer!$A$9:$A$15,[1]Damer!$C$9:$C$15,0)</f>
        <v>0</v>
      </c>
      <c r="F55" s="8">
        <f>_xlfn.XLOOKUP(A55,'[1]Leirsund 2'!$A$10:$A$16,'[1]Leirsund 2'!$C$10:$C$16,0)</f>
        <v>0</v>
      </c>
      <c r="G55" s="8">
        <f>_xlfn.XLOOKUP(A55,'[1]A-lag'!$A$10:$A$19,'[1]A-lag'!$C$10:$C$19,0)</f>
        <v>0</v>
      </c>
      <c r="H55" s="8">
        <f>_xlfn.XLOOKUP(A55,[1]Svømming!$A$9:$A$10,[1]Svømming!$C$9:$C$10,0)</f>
        <v>0</v>
      </c>
      <c r="I55" s="8">
        <f>_xlfn.XLOOKUP(A55,[1]eSport!$A$9:$A$15,[1]eSport!$C$9:$C$15,0)</f>
        <v>0</v>
      </c>
      <c r="J55" s="8">
        <f>_xlfn.XLOOKUP(A55,[1]Futsal!$A$9:$A$14,[1]Futsal!$C$9:$C$14,0)</f>
        <v>0</v>
      </c>
      <c r="K55" s="8">
        <f>_xlfn.XLOOKUP(A55,[1]Drift!$A$11:$A$27,[1]Drift!$C$11:$C$27,0)</f>
        <v>0</v>
      </c>
      <c r="L55" s="8">
        <f>_xlfn.XLOOKUP(A55,[1]Adm!$A$13:$A$24,[1]Adm!$C$13:$C$24,0)</f>
        <v>25000</v>
      </c>
      <c r="N55" s="5" t="s">
        <v>136</v>
      </c>
    </row>
    <row r="56" spans="1:14">
      <c r="A56" s="5" t="str">
        <v>7770 Bank og kortgebyrer</v>
      </c>
      <c r="B56" s="8">
        <f t="shared" si="2"/>
        <v>600</v>
      </c>
      <c r="C56" s="8">
        <f>_xlfn.XLOOKUP(A56,[1]Skigruppa!$A$14:$A$33,[1]Skigruppa!$C$14:$C$33,0)</f>
        <v>0</v>
      </c>
      <c r="D56" s="8">
        <f>_xlfn.XLOOKUP(A56,[1]Junior!$A$9:$A$17,[1]Junior!$C$9:$C$17,0)</f>
        <v>0</v>
      </c>
      <c r="E56" s="8">
        <f>_xlfn.XLOOKUP(A56,[1]Damer!$A$9:$A$15,[1]Damer!$C$9:$C$15,0)</f>
        <v>0</v>
      </c>
      <c r="F56" s="8">
        <f>_xlfn.XLOOKUP(A56,'[1]Leirsund 2'!$A$10:$A$16,'[1]Leirsund 2'!$C$10:$C$16,0)</f>
        <v>0</v>
      </c>
      <c r="G56" s="8">
        <f>_xlfn.XLOOKUP(A56,'[1]A-lag'!$A$10:$A$19,'[1]A-lag'!$C$10:$C$19,0)</f>
        <v>0</v>
      </c>
      <c r="H56" s="8">
        <f>_xlfn.XLOOKUP(A56,[1]Svømming!$A$9:$A$10,[1]Svømming!$C$9:$C$10,0)</f>
        <v>0</v>
      </c>
      <c r="I56" s="8">
        <f>_xlfn.XLOOKUP(A56,[1]eSport!$A$9:$A$15,[1]eSport!$C$9:$C$15,0)</f>
        <v>0</v>
      </c>
      <c r="J56" s="8">
        <f>_xlfn.XLOOKUP(A56,[1]Futsal!$A$9:$A$14,[1]Futsal!$C$9:$C$14,0)</f>
        <v>0</v>
      </c>
      <c r="K56" s="8">
        <f>_xlfn.XLOOKUP(A56,[1]Drift!$A$11:$A$27,[1]Drift!$C$11:$C$27,0)</f>
        <v>0</v>
      </c>
      <c r="L56" s="8">
        <f>_xlfn.XLOOKUP(A56,[1]Adm!$A$13:$A$24,[1]Adm!$C$13:$C$24,0)</f>
        <v>600</v>
      </c>
      <c r="N56" s="5"/>
    </row>
    <row r="57" spans="1:14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</row>
    <row r="58" spans="1:14">
      <c r="A58" s="15" t="s">
        <v>69</v>
      </c>
      <c r="B58" s="16">
        <f>SUM(B21:B56)</f>
        <v>1619537</v>
      </c>
      <c r="C58" s="16">
        <f t="shared" ref="C58:L58" si="3">SUM(C21:C56)</f>
        <v>421500</v>
      </c>
      <c r="D58" s="16">
        <f t="shared" si="3"/>
        <v>84710</v>
      </c>
      <c r="E58" s="16">
        <f t="shared" si="3"/>
        <v>43575</v>
      </c>
      <c r="F58" s="16">
        <f t="shared" si="3"/>
        <v>90000</v>
      </c>
      <c r="G58" s="16">
        <f t="shared" si="3"/>
        <v>236700</v>
      </c>
      <c r="H58" s="16">
        <f t="shared" si="3"/>
        <v>2000</v>
      </c>
      <c r="I58" s="16">
        <f t="shared" si="3"/>
        <v>47800</v>
      </c>
      <c r="J58" s="16">
        <f t="shared" si="3"/>
        <v>30000</v>
      </c>
      <c r="K58" s="16">
        <f t="shared" si="3"/>
        <v>503360</v>
      </c>
      <c r="L58" s="16">
        <f t="shared" si="3"/>
        <v>159892</v>
      </c>
      <c r="N58" s="5"/>
    </row>
    <row r="60" spans="1:14">
      <c r="A60" s="15" t="s">
        <v>70</v>
      </c>
      <c r="B60" s="8">
        <f>B17-B58</f>
        <v>-294537</v>
      </c>
      <c r="C60" s="8">
        <f t="shared" ref="C60:L60" si="4">C17-C58</f>
        <v>-208000</v>
      </c>
      <c r="D60" s="8">
        <f t="shared" si="4"/>
        <v>-18710</v>
      </c>
      <c r="E60" s="8">
        <f t="shared" si="4"/>
        <v>-8575</v>
      </c>
      <c r="F60" s="8">
        <f t="shared" si="4"/>
        <v>-7500</v>
      </c>
      <c r="G60" s="8">
        <f t="shared" si="4"/>
        <v>-90700</v>
      </c>
      <c r="H60" s="8">
        <f t="shared" si="4"/>
        <v>11000</v>
      </c>
      <c r="I60" s="8">
        <f t="shared" si="4"/>
        <v>-37800</v>
      </c>
      <c r="J60" s="8">
        <f t="shared" si="4"/>
        <v>-20000</v>
      </c>
      <c r="K60" s="8">
        <f t="shared" si="4"/>
        <v>-374360</v>
      </c>
      <c r="L60" s="8">
        <f t="shared" si="4"/>
        <v>460108</v>
      </c>
      <c r="N60" s="5" t="s">
        <v>137</v>
      </c>
    </row>
    <row r="62" spans="1:14">
      <c r="A62" s="15" t="s">
        <v>71</v>
      </c>
      <c r="B62" s="1"/>
    </row>
    <row r="63" spans="1:14">
      <c r="A63" s="5" t="s">
        <v>72</v>
      </c>
      <c r="B63" s="8">
        <f>SUM(C63:L63)</f>
        <v>200000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200000</v>
      </c>
      <c r="N63" s="5" t="s">
        <v>138</v>
      </c>
    </row>
    <row r="64" spans="1:14">
      <c r="A64" s="5" t="s">
        <v>73</v>
      </c>
      <c r="B64" s="8">
        <f>SUM(C64:L64)</f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N64" s="5"/>
    </row>
    <row r="67" spans="1:14">
      <c r="A67" s="15" t="s">
        <v>74</v>
      </c>
      <c r="B67" s="16">
        <f>B17+B63+B64-B58</f>
        <v>-94537</v>
      </c>
      <c r="C67" s="16">
        <f t="shared" ref="C67:L67" si="5">C17+C63+C64-C58</f>
        <v>-208000</v>
      </c>
      <c r="D67" s="16">
        <f t="shared" si="5"/>
        <v>-18710</v>
      </c>
      <c r="E67" s="16">
        <f t="shared" si="5"/>
        <v>-8575</v>
      </c>
      <c r="F67" s="16">
        <f t="shared" si="5"/>
        <v>-7500</v>
      </c>
      <c r="G67" s="16">
        <f t="shared" si="5"/>
        <v>-90700</v>
      </c>
      <c r="H67" s="16">
        <f t="shared" si="5"/>
        <v>11000</v>
      </c>
      <c r="I67" s="16">
        <f t="shared" si="5"/>
        <v>-37800</v>
      </c>
      <c r="J67" s="16">
        <f t="shared" si="5"/>
        <v>-20000</v>
      </c>
      <c r="K67" s="16">
        <f t="shared" si="5"/>
        <v>-374360</v>
      </c>
      <c r="L67" s="16">
        <f t="shared" si="5"/>
        <v>660108</v>
      </c>
      <c r="N67" s="5"/>
    </row>
    <row r="68" spans="1:14">
      <c r="A68" s="1"/>
    </row>
  </sheetData>
  <mergeCells count="24">
    <mergeCell ref="N2:N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N19:N20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CFB94-D904-4839-9375-72971F3FC25D}">
  <dimension ref="A1:H53"/>
  <sheetViews>
    <sheetView topLeftCell="A8" zoomScaleNormal="100" workbookViewId="0">
      <selection activeCell="K35" sqref="K35"/>
    </sheetView>
  </sheetViews>
  <sheetFormatPr defaultRowHeight="15"/>
  <cols>
    <col min="1" max="1" width="48.85546875" bestFit="1" customWidth="1"/>
    <col min="2" max="4" width="13.85546875" bestFit="1" customWidth="1"/>
    <col min="5" max="5" width="15.42578125" bestFit="1" customWidth="1"/>
    <col min="6" max="6" width="13.7109375" bestFit="1" customWidth="1"/>
    <col min="7" max="7" width="9.7109375" bestFit="1" customWidth="1"/>
    <col min="8" max="8" width="33.285156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79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2"/>
      <c r="H12" s="5"/>
    </row>
    <row r="13" spans="1:8">
      <c r="A13" s="5" t="s">
        <v>13</v>
      </c>
      <c r="B13" s="7">
        <v>48895.98</v>
      </c>
      <c r="C13" s="7">
        <v>20775.62</v>
      </c>
      <c r="D13" s="7">
        <v>48895.98</v>
      </c>
      <c r="E13" s="7">
        <v>20775.62</v>
      </c>
      <c r="F13" s="6">
        <v>55000</v>
      </c>
      <c r="G13" s="12">
        <f>(F13-B13)/ABS(B13)</f>
        <v>0.12483684752816072</v>
      </c>
      <c r="H13" s="5" t="s">
        <v>87</v>
      </c>
    </row>
    <row r="14" spans="1:8">
      <c r="A14" s="5" t="s">
        <v>15</v>
      </c>
      <c r="B14" s="7">
        <v>0</v>
      </c>
      <c r="C14" s="7">
        <v>43776.24</v>
      </c>
      <c r="D14" s="7">
        <v>0</v>
      </c>
      <c r="E14" s="7">
        <v>43776.24</v>
      </c>
      <c r="F14" s="6">
        <v>40000</v>
      </c>
      <c r="G14" s="12" t="e">
        <f t="shared" ref="G14:G52" si="0">(F14-B14)/ABS(B14)</f>
        <v>#DIV/0!</v>
      </c>
      <c r="H14" s="5"/>
    </row>
    <row r="15" spans="1:8">
      <c r="A15" s="5" t="s">
        <v>17</v>
      </c>
      <c r="B15" s="7">
        <v>0</v>
      </c>
      <c r="C15" s="7">
        <v>6913.73</v>
      </c>
      <c r="D15" s="7">
        <v>0</v>
      </c>
      <c r="E15" s="7">
        <v>6913.73</v>
      </c>
      <c r="F15" s="6">
        <v>0</v>
      </c>
      <c r="G15" s="12" t="e">
        <f t="shared" si="0"/>
        <v>#DIV/0!</v>
      </c>
      <c r="H15" s="5"/>
    </row>
    <row r="16" spans="1:8">
      <c r="A16" s="5" t="s">
        <v>19</v>
      </c>
      <c r="B16" s="7">
        <v>0</v>
      </c>
      <c r="C16" s="7">
        <v>1964.96</v>
      </c>
      <c r="D16" s="7">
        <v>0</v>
      </c>
      <c r="E16" s="7">
        <v>1964.96</v>
      </c>
      <c r="F16" s="6">
        <v>3500</v>
      </c>
      <c r="G16" s="12" t="e">
        <f t="shared" si="0"/>
        <v>#DIV/0!</v>
      </c>
      <c r="H16" s="5"/>
    </row>
    <row r="17" spans="1:8">
      <c r="A17" s="5" t="s">
        <v>21</v>
      </c>
      <c r="B17" s="7">
        <v>5351.03</v>
      </c>
      <c r="C17" s="7">
        <v>15132.53</v>
      </c>
      <c r="D17" s="7">
        <v>5351.03</v>
      </c>
      <c r="E17" s="7">
        <v>15132.53</v>
      </c>
      <c r="F17" s="6">
        <v>20000</v>
      </c>
      <c r="G17" s="12">
        <f t="shared" si="0"/>
        <v>2.7375981820322446</v>
      </c>
      <c r="H17" s="5"/>
    </row>
    <row r="18" spans="1:8">
      <c r="A18" s="5" t="s">
        <v>22</v>
      </c>
      <c r="B18" s="7">
        <v>25392.23</v>
      </c>
      <c r="C18" s="7">
        <v>47637.62</v>
      </c>
      <c r="D18" s="7">
        <v>25392.23</v>
      </c>
      <c r="E18" s="7">
        <v>47637.62</v>
      </c>
      <c r="F18" s="6">
        <v>30000</v>
      </c>
      <c r="G18" s="12">
        <f t="shared" si="0"/>
        <v>0.18146377848656856</v>
      </c>
      <c r="H18" s="5"/>
    </row>
    <row r="19" spans="1:8">
      <c r="A19" s="5" t="s">
        <v>27</v>
      </c>
      <c r="B19" s="7">
        <v>10000</v>
      </c>
      <c r="C19" s="7">
        <v>0</v>
      </c>
      <c r="D19" s="7">
        <v>10000</v>
      </c>
      <c r="E19" s="7">
        <v>0</v>
      </c>
      <c r="F19" s="6">
        <v>10000</v>
      </c>
      <c r="G19" s="12">
        <f t="shared" si="0"/>
        <v>0</v>
      </c>
      <c r="H19" s="5"/>
    </row>
    <row r="20" spans="1:8">
      <c r="A20" s="5" t="s">
        <v>24</v>
      </c>
      <c r="B20" s="7">
        <v>0</v>
      </c>
      <c r="C20" s="7"/>
      <c r="D20" s="7"/>
      <c r="E20" s="7"/>
      <c r="F20" s="6">
        <v>0</v>
      </c>
      <c r="G20" s="12" t="e">
        <f t="shared" si="0"/>
        <v>#DIV/0!</v>
      </c>
      <c r="H20" s="5"/>
    </row>
    <row r="21" spans="1:8">
      <c r="A21" s="5"/>
      <c r="B21" s="7">
        <v>89639.24</v>
      </c>
      <c r="C21" s="7">
        <v>136200.70000000001</v>
      </c>
      <c r="D21" s="7">
        <v>89639.24</v>
      </c>
      <c r="E21" s="7">
        <v>136200.70000000001</v>
      </c>
      <c r="F21" s="6"/>
      <c r="G21" s="12">
        <f t="shared" si="0"/>
        <v>-1</v>
      </c>
      <c r="H21" s="5"/>
    </row>
    <row r="22" spans="1:8">
      <c r="B22" s="3"/>
      <c r="C22" s="3"/>
      <c r="D22" s="3"/>
      <c r="E22" s="3"/>
      <c r="G22" s="13"/>
    </row>
    <row r="23" spans="1:8">
      <c r="A23" s="5" t="s">
        <v>88</v>
      </c>
      <c r="B23" s="7"/>
      <c r="C23" s="7"/>
      <c r="D23" s="7"/>
      <c r="E23" s="7"/>
      <c r="F23" s="6"/>
      <c r="G23" s="12"/>
      <c r="H23" s="5"/>
    </row>
    <row r="24" spans="1:8">
      <c r="A24" s="5" t="s">
        <v>30</v>
      </c>
      <c r="B24" s="7">
        <v>-23736.560000000001</v>
      </c>
      <c r="C24" s="7">
        <v>-17594.59</v>
      </c>
      <c r="D24" s="7">
        <v>-23736.560000000001</v>
      </c>
      <c r="E24" s="7">
        <v>-17594.59</v>
      </c>
      <c r="F24" s="6">
        <v>27000</v>
      </c>
      <c r="G24" s="12">
        <f t="shared" si="0"/>
        <v>2.1374858024920207</v>
      </c>
      <c r="H24" s="5" t="s">
        <v>87</v>
      </c>
    </row>
    <row r="25" spans="1:8">
      <c r="A25" s="5" t="s">
        <v>31</v>
      </c>
      <c r="B25" s="7">
        <v>0</v>
      </c>
      <c r="C25" s="7">
        <v>-43875</v>
      </c>
      <c r="D25" s="7">
        <v>0</v>
      </c>
      <c r="E25" s="7">
        <v>-43875</v>
      </c>
      <c r="F25" s="6">
        <v>0</v>
      </c>
      <c r="G25" s="12" t="e">
        <f t="shared" si="0"/>
        <v>#DIV/0!</v>
      </c>
      <c r="H25" s="5"/>
    </row>
    <row r="26" spans="1:8">
      <c r="A26" s="5" t="s">
        <v>32</v>
      </c>
      <c r="B26" s="7">
        <v>-13760</v>
      </c>
      <c r="C26" s="7">
        <v>0</v>
      </c>
      <c r="D26" s="7">
        <v>-13760</v>
      </c>
      <c r="E26" s="7">
        <v>0</v>
      </c>
      <c r="F26" s="6">
        <v>45000</v>
      </c>
      <c r="G26" s="12">
        <f t="shared" si="0"/>
        <v>4.2703488372093021</v>
      </c>
      <c r="H26" s="5"/>
    </row>
    <row r="27" spans="1:8">
      <c r="A27" s="5" t="s">
        <v>33</v>
      </c>
      <c r="B27" s="7">
        <v>-1828.35</v>
      </c>
      <c r="C27" s="7">
        <v>0</v>
      </c>
      <c r="D27" s="7">
        <v>-1828.35</v>
      </c>
      <c r="E27" s="7">
        <v>0</v>
      </c>
      <c r="F27" s="6">
        <v>6000</v>
      </c>
      <c r="G27" s="12">
        <f t="shared" si="0"/>
        <v>4.2816473869882685</v>
      </c>
      <c r="H27" s="5"/>
    </row>
    <row r="28" spans="1:8">
      <c r="A28" s="5" t="s">
        <v>35</v>
      </c>
      <c r="B28" s="7">
        <v>-4652.6499999999996</v>
      </c>
      <c r="C28" s="7">
        <v>-3462.7</v>
      </c>
      <c r="D28" s="7">
        <v>-4652.6499999999996</v>
      </c>
      <c r="E28" s="7">
        <v>-3462.7</v>
      </c>
      <c r="F28" s="6">
        <v>5000</v>
      </c>
      <c r="G28" s="12">
        <f t="shared" si="0"/>
        <v>2.0746563786229353</v>
      </c>
      <c r="H28" s="5"/>
    </row>
    <row r="29" spans="1:8">
      <c r="A29" s="5" t="s">
        <v>36</v>
      </c>
      <c r="B29" s="7">
        <v>-49490</v>
      </c>
      <c r="C29" s="7">
        <v>-49490</v>
      </c>
      <c r="D29" s="7">
        <v>-49490</v>
      </c>
      <c r="E29" s="7">
        <v>-49490</v>
      </c>
      <c r="F29" s="6">
        <v>50000</v>
      </c>
      <c r="G29" s="12">
        <f t="shared" si="0"/>
        <v>2.0103051121438673</v>
      </c>
      <c r="H29" s="5"/>
    </row>
    <row r="30" spans="1:8">
      <c r="A30" s="5" t="s">
        <v>38</v>
      </c>
      <c r="B30" s="7">
        <v>245.62</v>
      </c>
      <c r="C30" s="7">
        <v>0</v>
      </c>
      <c r="D30" s="7">
        <v>245.62</v>
      </c>
      <c r="E30" s="7">
        <v>0</v>
      </c>
      <c r="F30" s="6">
        <v>0</v>
      </c>
      <c r="G30" s="12">
        <f t="shared" si="0"/>
        <v>-1</v>
      </c>
      <c r="H30" s="5"/>
    </row>
    <row r="31" spans="1:8">
      <c r="A31" s="5" t="s">
        <v>39</v>
      </c>
      <c r="B31" s="7">
        <v>-10789</v>
      </c>
      <c r="C31" s="7">
        <v>-7320</v>
      </c>
      <c r="D31" s="7">
        <v>-10789</v>
      </c>
      <c r="E31" s="7">
        <v>-7320</v>
      </c>
      <c r="F31" s="6">
        <v>11000</v>
      </c>
      <c r="G31" s="12">
        <f t="shared" si="0"/>
        <v>2.0195569561590507</v>
      </c>
      <c r="H31" s="5"/>
    </row>
    <row r="32" spans="1:8">
      <c r="A32" s="5" t="s">
        <v>40</v>
      </c>
      <c r="B32" s="7">
        <v>-44379.519999999997</v>
      </c>
      <c r="C32" s="7">
        <v>-52807.02</v>
      </c>
      <c r="D32" s="7">
        <v>-44379.519999999997</v>
      </c>
      <c r="E32" s="7">
        <v>-52807.02</v>
      </c>
      <c r="F32" s="6">
        <v>45000</v>
      </c>
      <c r="G32" s="12">
        <f t="shared" si="0"/>
        <v>2.0139812237716854</v>
      </c>
      <c r="H32" s="5"/>
    </row>
    <row r="33" spans="1:8">
      <c r="A33" s="5" t="s">
        <v>42</v>
      </c>
      <c r="B33" s="7">
        <v>-9360.84</v>
      </c>
      <c r="C33" s="7">
        <v>-9088.2000000000007</v>
      </c>
      <c r="D33" s="7">
        <v>-9360.84</v>
      </c>
      <c r="E33" s="7">
        <v>-9088.2000000000007</v>
      </c>
      <c r="F33" s="6">
        <v>10000</v>
      </c>
      <c r="G33" s="12">
        <f t="shared" si="0"/>
        <v>2.0682801970763309</v>
      </c>
      <c r="H33" s="5"/>
    </row>
    <row r="34" spans="1:8">
      <c r="A34" s="5" t="s">
        <v>45</v>
      </c>
      <c r="B34" s="7">
        <v>-71958.47</v>
      </c>
      <c r="C34" s="7">
        <v>-63187.21</v>
      </c>
      <c r="D34" s="7">
        <v>-71958.47</v>
      </c>
      <c r="E34" s="7">
        <v>-63187.21</v>
      </c>
      <c r="F34" s="6">
        <v>75000</v>
      </c>
      <c r="G34" s="12">
        <f t="shared" si="0"/>
        <v>2.0422678525543971</v>
      </c>
      <c r="H34" s="5" t="s">
        <v>89</v>
      </c>
    </row>
    <row r="35" spans="1:8">
      <c r="A35" s="5" t="s">
        <v>46</v>
      </c>
      <c r="B35" s="7">
        <v>-10443.549999999999</v>
      </c>
      <c r="C35" s="7">
        <v>-21256.6</v>
      </c>
      <c r="D35" s="7">
        <v>-10443.549999999999</v>
      </c>
      <c r="E35" s="7">
        <v>-21256.6</v>
      </c>
      <c r="F35" s="6">
        <v>10000</v>
      </c>
      <c r="G35" s="12">
        <f t="shared" si="0"/>
        <v>1.9575288096480603</v>
      </c>
      <c r="H35" s="5"/>
    </row>
    <row r="36" spans="1:8">
      <c r="A36" s="5" t="s">
        <v>48</v>
      </c>
      <c r="B36" s="7">
        <v>-13754.56</v>
      </c>
      <c r="C36" s="7">
        <v>0</v>
      </c>
      <c r="D36" s="7">
        <v>-13754.56</v>
      </c>
      <c r="E36" s="7">
        <v>0</v>
      </c>
      <c r="F36" s="6">
        <v>10000</v>
      </c>
      <c r="G36" s="12">
        <f t="shared" si="0"/>
        <v>1.7270316171509665</v>
      </c>
      <c r="H36" s="5"/>
    </row>
    <row r="37" spans="1:8">
      <c r="A37" s="5" t="s">
        <v>49</v>
      </c>
      <c r="B37" s="7">
        <v>-44038.5</v>
      </c>
      <c r="C37" s="7">
        <v>-17142.55</v>
      </c>
      <c r="D37" s="7">
        <v>-44038.5</v>
      </c>
      <c r="E37" s="7">
        <v>-17142.55</v>
      </c>
      <c r="F37" s="6">
        <v>50000</v>
      </c>
      <c r="G37" s="12">
        <f t="shared" si="0"/>
        <v>2.135370187449618</v>
      </c>
      <c r="H37" s="5"/>
    </row>
    <row r="38" spans="1:8">
      <c r="A38" s="5" t="s">
        <v>50</v>
      </c>
      <c r="B38" s="7">
        <v>-46653.75</v>
      </c>
      <c r="C38" s="7">
        <v>-15088.38</v>
      </c>
      <c r="D38" s="7">
        <v>-46653.75</v>
      </c>
      <c r="E38" s="7">
        <v>-15088.38</v>
      </c>
      <c r="F38" s="6">
        <v>20000</v>
      </c>
      <c r="G38" s="12">
        <f t="shared" si="0"/>
        <v>1.4286900838624976</v>
      </c>
      <c r="H38" s="5"/>
    </row>
    <row r="39" spans="1:8">
      <c r="A39" s="5" t="s">
        <v>51</v>
      </c>
      <c r="B39" s="7">
        <v>-1341</v>
      </c>
      <c r="C39" s="7">
        <v>-1094.8</v>
      </c>
      <c r="D39" s="7">
        <v>-1341</v>
      </c>
      <c r="E39" s="7">
        <v>-1094.8</v>
      </c>
      <c r="F39" s="6">
        <v>1500</v>
      </c>
      <c r="G39" s="12">
        <f t="shared" si="0"/>
        <v>2.1185682326621924</v>
      </c>
      <c r="H39" s="5"/>
    </row>
    <row r="40" spans="1:8">
      <c r="A40" s="5" t="s">
        <v>54</v>
      </c>
      <c r="B40" s="7">
        <v>-2152</v>
      </c>
      <c r="C40" s="7">
        <v>0</v>
      </c>
      <c r="D40" s="7">
        <v>-2152</v>
      </c>
      <c r="E40" s="7">
        <v>0</v>
      </c>
      <c r="F40" s="6">
        <v>2000</v>
      </c>
      <c r="G40" s="12">
        <f t="shared" si="0"/>
        <v>1.9293680297397771</v>
      </c>
      <c r="H40" s="5"/>
    </row>
    <row r="41" spans="1:8">
      <c r="A41" s="5" t="s">
        <v>55</v>
      </c>
      <c r="B41" s="7">
        <v>-6770.17</v>
      </c>
      <c r="C41" s="7">
        <v>-15242.73</v>
      </c>
      <c r="D41" s="7">
        <v>-6770.17</v>
      </c>
      <c r="E41" s="7">
        <v>-15242.73</v>
      </c>
      <c r="F41" s="6">
        <v>20000</v>
      </c>
      <c r="G41" s="12">
        <f t="shared" si="0"/>
        <v>3.9541355682353614</v>
      </c>
      <c r="H41" s="5"/>
    </row>
    <row r="42" spans="1:8">
      <c r="A42" s="5" t="s">
        <v>57</v>
      </c>
      <c r="B42" s="7">
        <v>0</v>
      </c>
      <c r="C42" s="7">
        <v>-1398</v>
      </c>
      <c r="D42" s="7">
        <v>0</v>
      </c>
      <c r="E42" s="7">
        <v>-1398</v>
      </c>
      <c r="F42" s="6">
        <v>0</v>
      </c>
      <c r="G42" s="12" t="e">
        <f t="shared" si="0"/>
        <v>#DIV/0!</v>
      </c>
      <c r="H42" s="5"/>
    </row>
    <row r="43" spans="1:8">
      <c r="A43" s="5" t="s">
        <v>59</v>
      </c>
      <c r="B43" s="7">
        <v>0</v>
      </c>
      <c r="C43" s="7">
        <v>-2582</v>
      </c>
      <c r="D43" s="7">
        <v>0</v>
      </c>
      <c r="E43" s="7">
        <v>-2582</v>
      </c>
      <c r="F43" s="6">
        <v>0</v>
      </c>
      <c r="G43" s="12" t="e">
        <f t="shared" si="0"/>
        <v>#DIV/0!</v>
      </c>
      <c r="H43" s="5"/>
    </row>
    <row r="44" spans="1:8">
      <c r="A44" s="5" t="s">
        <v>60</v>
      </c>
      <c r="B44" s="7">
        <v>-300</v>
      </c>
      <c r="C44" s="7">
        <v>-300</v>
      </c>
      <c r="D44" s="7">
        <v>-300</v>
      </c>
      <c r="E44" s="7">
        <v>-300</v>
      </c>
      <c r="F44" s="6">
        <v>300</v>
      </c>
      <c r="G44" s="12">
        <f t="shared" si="0"/>
        <v>2</v>
      </c>
      <c r="H44" s="5"/>
    </row>
    <row r="45" spans="1:8">
      <c r="A45" s="5" t="s">
        <v>61</v>
      </c>
      <c r="B45" s="7">
        <v>-2595</v>
      </c>
      <c r="C45" s="7">
        <v>0</v>
      </c>
      <c r="D45" s="7">
        <v>-2595</v>
      </c>
      <c r="E45" s="7">
        <v>0</v>
      </c>
      <c r="F45" s="6">
        <v>2600</v>
      </c>
      <c r="G45" s="12">
        <f t="shared" si="0"/>
        <v>2.0019267822736029</v>
      </c>
      <c r="H45" s="5"/>
    </row>
    <row r="46" spans="1:8">
      <c r="A46" s="5" t="s">
        <v>62</v>
      </c>
      <c r="B46" s="7">
        <v>-5575</v>
      </c>
      <c r="C46" s="7">
        <v>-3684.9</v>
      </c>
      <c r="D46" s="7">
        <v>-5575</v>
      </c>
      <c r="E46" s="7">
        <v>-3684.9</v>
      </c>
      <c r="F46" s="6">
        <v>0</v>
      </c>
      <c r="G46" s="12">
        <f t="shared" si="0"/>
        <v>1</v>
      </c>
      <c r="H46" s="5"/>
    </row>
    <row r="47" spans="1:8">
      <c r="A47" s="5" t="s">
        <v>63</v>
      </c>
      <c r="B47" s="7">
        <v>0</v>
      </c>
      <c r="C47" s="7">
        <v>-2068</v>
      </c>
      <c r="D47" s="7">
        <v>0</v>
      </c>
      <c r="E47" s="7">
        <v>-2068</v>
      </c>
      <c r="F47" s="6">
        <v>0</v>
      </c>
      <c r="G47" s="12" t="e">
        <f t="shared" si="0"/>
        <v>#DIV/0!</v>
      </c>
      <c r="H47" s="5"/>
    </row>
    <row r="48" spans="1:8">
      <c r="A48" s="5" t="s">
        <v>64</v>
      </c>
      <c r="B48" s="7">
        <v>-19767</v>
      </c>
      <c r="C48" s="7">
        <v>-4517</v>
      </c>
      <c r="D48" s="7">
        <v>-19767</v>
      </c>
      <c r="E48" s="7">
        <v>-4517</v>
      </c>
      <c r="F48" s="6">
        <v>23000</v>
      </c>
      <c r="G48" s="12">
        <f t="shared" si="0"/>
        <v>2.1635554206505794</v>
      </c>
      <c r="H48" s="5"/>
    </row>
    <row r="49" spans="1:8">
      <c r="A49" s="5" t="s">
        <v>67</v>
      </c>
      <c r="B49" s="7">
        <v>0</v>
      </c>
      <c r="C49" s="7">
        <v>-21800</v>
      </c>
      <c r="D49" s="7">
        <v>0</v>
      </c>
      <c r="E49" s="7">
        <v>-21800</v>
      </c>
      <c r="F49" s="6"/>
      <c r="G49" s="12" t="e">
        <f t="shared" si="0"/>
        <v>#DIV/0!</v>
      </c>
      <c r="H49" s="5"/>
    </row>
    <row r="50" spans="1:8">
      <c r="A50" s="5"/>
      <c r="B50" s="7">
        <v>-383100.3</v>
      </c>
      <c r="C50" s="7">
        <v>-352999.67999999999</v>
      </c>
      <c r="D50" s="7">
        <v>-383100.3</v>
      </c>
      <c r="E50" s="7">
        <v>-352999.67999999999</v>
      </c>
      <c r="F50" s="6"/>
      <c r="G50" s="12">
        <f t="shared" si="0"/>
        <v>1</v>
      </c>
      <c r="H50" s="5"/>
    </row>
    <row r="51" spans="1:8">
      <c r="B51" s="3"/>
      <c r="C51" s="3"/>
      <c r="D51" s="3"/>
      <c r="E51" s="3"/>
      <c r="G51" s="13"/>
    </row>
    <row r="52" spans="1:8">
      <c r="A52" s="5" t="s">
        <v>70</v>
      </c>
      <c r="B52" s="7">
        <v>-293461.06</v>
      </c>
      <c r="C52" s="7">
        <v>-216798.98</v>
      </c>
      <c r="D52" s="7">
        <v>-293461.06</v>
      </c>
      <c r="E52" s="7">
        <v>-216798.98</v>
      </c>
      <c r="F52" s="6">
        <f>SUM(F13:F21)-SUM(F24:F50)</f>
        <v>-254900</v>
      </c>
      <c r="G52" s="12">
        <f t="shared" si="0"/>
        <v>0.13140094293941418</v>
      </c>
      <c r="H52" s="5"/>
    </row>
    <row r="53" spans="1:8">
      <c r="B53" s="3"/>
      <c r="C53" s="3"/>
      <c r="D53" s="3"/>
      <c r="E53" s="3"/>
      <c r="G53" s="13"/>
    </row>
  </sheetData>
  <mergeCells count="2">
    <mergeCell ref="B9:E9"/>
    <mergeCell ref="F9:H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8C3E4-AE17-47A3-B102-2BB4922F2ADE}">
  <dimension ref="A1:H31"/>
  <sheetViews>
    <sheetView zoomScaleNormal="100" workbookViewId="0">
      <selection activeCell="F31" sqref="F31"/>
    </sheetView>
  </sheetViews>
  <sheetFormatPr defaultRowHeight="15"/>
  <cols>
    <col min="1" max="1" width="38.140625" bestFit="1" customWidth="1"/>
    <col min="2" max="4" width="12.85546875" bestFit="1" customWidth="1"/>
    <col min="5" max="5" width="15.42578125" bestFit="1" customWidth="1"/>
    <col min="6" max="6" width="12.85546875" bestFit="1" customWidth="1"/>
    <col min="7" max="7" width="9.7109375" bestFit="1" customWidth="1"/>
    <col min="8" max="8" width="11.285156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90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5"/>
      <c r="H12" s="5"/>
    </row>
    <row r="13" spans="1:8">
      <c r="A13" s="5" t="s">
        <v>24</v>
      </c>
      <c r="B13" s="6">
        <v>28377.7</v>
      </c>
      <c r="C13" s="6">
        <v>41208.28</v>
      </c>
      <c r="D13" s="6">
        <v>28377.7</v>
      </c>
      <c r="E13" s="6">
        <v>41208.28</v>
      </c>
      <c r="F13" s="6">
        <v>45000</v>
      </c>
      <c r="G13" s="12">
        <f>(F13-B13)/ABS(B13)</f>
        <v>0.58575219274289314</v>
      </c>
      <c r="H13" s="5"/>
    </row>
    <row r="14" spans="1:8">
      <c r="A14" s="5" t="s">
        <v>26</v>
      </c>
      <c r="B14" s="6">
        <v>13795.07</v>
      </c>
      <c r="C14" s="6">
        <v>0</v>
      </c>
      <c r="D14" s="6">
        <v>13795.07</v>
      </c>
      <c r="E14" s="6">
        <v>0</v>
      </c>
      <c r="F14" s="6">
        <v>15000</v>
      </c>
      <c r="G14" s="12">
        <f t="shared" ref="G14:G30" si="0">(F14-B14)/ABS(B14)</f>
        <v>8.7344971790646972E-2</v>
      </c>
      <c r="H14" s="5"/>
    </row>
    <row r="15" spans="1:8">
      <c r="A15" s="5" t="s">
        <v>27</v>
      </c>
      <c r="B15" s="6">
        <v>10000</v>
      </c>
      <c r="C15" s="6">
        <v>0</v>
      </c>
      <c r="D15" s="6">
        <v>10000</v>
      </c>
      <c r="E15" s="6">
        <v>0</v>
      </c>
      <c r="F15" s="6">
        <v>10000</v>
      </c>
      <c r="G15" s="12">
        <f t="shared" si="0"/>
        <v>0</v>
      </c>
      <c r="H15" s="5"/>
    </row>
    <row r="16" spans="1:8">
      <c r="A16" s="5"/>
      <c r="B16" s="6">
        <v>52172.77</v>
      </c>
      <c r="C16" s="6">
        <v>41208.28</v>
      </c>
      <c r="D16" s="6">
        <v>52172.77</v>
      </c>
      <c r="E16" s="6">
        <v>41208.28</v>
      </c>
      <c r="F16" s="6"/>
      <c r="G16" s="12">
        <f t="shared" si="0"/>
        <v>-1</v>
      </c>
      <c r="H16" s="5"/>
    </row>
    <row r="17" spans="1:8">
      <c r="B17" s="4"/>
      <c r="C17" s="4"/>
      <c r="D17" s="4"/>
      <c r="E17" s="4"/>
      <c r="G17" s="13"/>
    </row>
    <row r="18" spans="1:8">
      <c r="A18" s="5" t="s">
        <v>88</v>
      </c>
      <c r="B18" s="6"/>
      <c r="C18" s="6"/>
      <c r="D18" s="6"/>
      <c r="E18" s="6"/>
      <c r="F18" s="6"/>
      <c r="G18" s="12"/>
      <c r="H18" s="5"/>
    </row>
    <row r="19" spans="1:8">
      <c r="A19" s="5" t="s">
        <v>31</v>
      </c>
      <c r="B19" s="6">
        <v>-3750</v>
      </c>
      <c r="C19" s="6">
        <v>-2800</v>
      </c>
      <c r="D19" s="6">
        <v>-3750</v>
      </c>
      <c r="E19" s="6">
        <v>-2800</v>
      </c>
      <c r="F19" s="6">
        <v>7000</v>
      </c>
      <c r="G19" s="12">
        <f t="shared" si="0"/>
        <v>2.8666666666666667</v>
      </c>
      <c r="H19" s="5"/>
    </row>
    <row r="20" spans="1:8">
      <c r="A20" s="5" t="s">
        <v>35</v>
      </c>
      <c r="B20" s="6">
        <v>-11907.85</v>
      </c>
      <c r="C20" s="6">
        <v>-14206.74</v>
      </c>
      <c r="D20" s="6">
        <v>-11907.85</v>
      </c>
      <c r="E20" s="6">
        <v>-14206.74</v>
      </c>
      <c r="F20" s="6">
        <v>12000</v>
      </c>
      <c r="G20" s="12">
        <f t="shared" si="0"/>
        <v>2.0077385926090772</v>
      </c>
      <c r="H20" s="5"/>
    </row>
    <row r="21" spans="1:8">
      <c r="A21" s="5" t="s">
        <v>45</v>
      </c>
      <c r="B21" s="6">
        <v>-2500</v>
      </c>
      <c r="C21" s="6">
        <v>-2500</v>
      </c>
      <c r="D21" s="6">
        <v>-2500</v>
      </c>
      <c r="E21" s="6">
        <v>-2500</v>
      </c>
      <c r="F21" s="6">
        <v>2500</v>
      </c>
      <c r="G21" s="12">
        <f t="shared" si="0"/>
        <v>2</v>
      </c>
      <c r="H21" s="5"/>
    </row>
    <row r="22" spans="1:8">
      <c r="A22" s="5" t="s">
        <v>48</v>
      </c>
      <c r="B22" s="6">
        <v>-1705.6</v>
      </c>
      <c r="C22" s="6">
        <v>-9212.9</v>
      </c>
      <c r="D22" s="6">
        <v>-1705.6</v>
      </c>
      <c r="E22" s="6">
        <v>-9212.9</v>
      </c>
      <c r="F22" s="6">
        <v>15000</v>
      </c>
      <c r="G22" s="12">
        <f t="shared" si="0"/>
        <v>9.7945590994371479</v>
      </c>
      <c r="H22" s="5"/>
    </row>
    <row r="23" spans="1:8">
      <c r="A23" s="5" t="s">
        <v>53</v>
      </c>
      <c r="B23" s="6">
        <v>0</v>
      </c>
      <c r="C23" s="6">
        <v>-3200</v>
      </c>
      <c r="D23" s="6">
        <v>0</v>
      </c>
      <c r="E23" s="6">
        <v>-3200</v>
      </c>
      <c r="F23" s="6">
        <v>0</v>
      </c>
      <c r="G23" s="12" t="e">
        <f t="shared" si="0"/>
        <v>#DIV/0!</v>
      </c>
      <c r="H23" s="5"/>
    </row>
    <row r="24" spans="1:8">
      <c r="A24" s="5" t="s">
        <v>56</v>
      </c>
      <c r="B24" s="6">
        <v>0</v>
      </c>
      <c r="C24" s="6">
        <v>-19860</v>
      </c>
      <c r="D24" s="6">
        <v>0</v>
      </c>
      <c r="E24" s="6">
        <v>-19860</v>
      </c>
      <c r="F24" s="6">
        <v>20000</v>
      </c>
      <c r="G24" s="12" t="e">
        <f t="shared" si="0"/>
        <v>#DIV/0!</v>
      </c>
      <c r="H24" s="5"/>
    </row>
    <row r="25" spans="1:8">
      <c r="A25" s="5" t="s">
        <v>60</v>
      </c>
      <c r="B25" s="6">
        <v>0</v>
      </c>
      <c r="C25" s="6">
        <v>-3125</v>
      </c>
      <c r="D25" s="6">
        <v>0</v>
      </c>
      <c r="E25" s="6">
        <v>-3125</v>
      </c>
      <c r="F25" s="6">
        <v>0</v>
      </c>
      <c r="G25" s="12" t="e">
        <f t="shared" si="0"/>
        <v>#DIV/0!</v>
      </c>
      <c r="H25" s="5"/>
    </row>
    <row r="26" spans="1:8">
      <c r="A26" s="5" t="s">
        <v>61</v>
      </c>
      <c r="B26" s="6">
        <v>-21863.65</v>
      </c>
      <c r="C26" s="6">
        <v>-12200</v>
      </c>
      <c r="D26" s="6">
        <v>-21863.65</v>
      </c>
      <c r="E26" s="6">
        <v>-12200</v>
      </c>
      <c r="F26" s="6">
        <v>15000</v>
      </c>
      <c r="G26" s="12">
        <f t="shared" si="0"/>
        <v>1.6860702581682381</v>
      </c>
      <c r="H26" s="5"/>
    </row>
    <row r="27" spans="1:8">
      <c r="A27" s="5" t="s">
        <v>63</v>
      </c>
      <c r="B27" s="6">
        <v>-2262.5</v>
      </c>
      <c r="C27" s="6">
        <v>-2010</v>
      </c>
      <c r="D27" s="6">
        <v>-2262.5</v>
      </c>
      <c r="E27" s="6">
        <v>-2010</v>
      </c>
      <c r="F27" s="6">
        <v>2500</v>
      </c>
      <c r="G27" s="12">
        <f t="shared" si="0"/>
        <v>2.1049723756906076</v>
      </c>
      <c r="H27" s="5"/>
    </row>
    <row r="28" spans="1:8">
      <c r="A28" s="5"/>
      <c r="B28" s="6">
        <v>-43989.599999999999</v>
      </c>
      <c r="C28" s="6">
        <v>-69114.64</v>
      </c>
      <c r="D28" s="6">
        <v>-43989.599999999999</v>
      </c>
      <c r="E28" s="6">
        <v>-69114.64</v>
      </c>
      <c r="F28" s="6"/>
      <c r="G28" s="12">
        <f t="shared" si="0"/>
        <v>1</v>
      </c>
      <c r="H28" s="5"/>
    </row>
    <row r="29" spans="1:8">
      <c r="B29" s="4"/>
      <c r="C29" s="4"/>
      <c r="D29" s="4"/>
      <c r="E29" s="4"/>
      <c r="G29" s="13"/>
    </row>
    <row r="30" spans="1:8">
      <c r="A30" s="5" t="s">
        <v>70</v>
      </c>
      <c r="B30" s="6">
        <v>8183.17</v>
      </c>
      <c r="C30" s="6">
        <v>-27906.36</v>
      </c>
      <c r="D30" s="6">
        <v>8183.17</v>
      </c>
      <c r="E30" s="6">
        <v>-27906.36</v>
      </c>
      <c r="F30" s="6">
        <f>SUM(F13:F16)-SUM(F19:F28)</f>
        <v>-4000</v>
      </c>
      <c r="G30" s="12">
        <f t="shared" si="0"/>
        <v>-1.4888081269239182</v>
      </c>
      <c r="H30" s="5"/>
    </row>
    <row r="31" spans="1:8">
      <c r="B31" s="4"/>
      <c r="C31" s="4"/>
      <c r="D31" s="4"/>
      <c r="E31" s="4"/>
      <c r="G31" s="13"/>
    </row>
  </sheetData>
  <mergeCells count="2">
    <mergeCell ref="B9:E9"/>
    <mergeCell ref="F9:H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7D902-5904-4ABD-A9D5-CE9B8DC35967}">
  <dimension ref="A1:H31"/>
  <sheetViews>
    <sheetView zoomScaleNormal="100" workbookViewId="0">
      <selection activeCell="F31" sqref="F31"/>
    </sheetView>
  </sheetViews>
  <sheetFormatPr defaultRowHeight="15"/>
  <cols>
    <col min="1" max="1" width="38.140625" bestFit="1" customWidth="1"/>
    <col min="2" max="4" width="12.85546875" bestFit="1" customWidth="1"/>
    <col min="5" max="5" width="15.42578125" bestFit="1" customWidth="1"/>
    <col min="6" max="6" width="12.85546875" bestFit="1" customWidth="1"/>
    <col min="7" max="7" width="9.7109375" bestFit="1" customWidth="1"/>
    <col min="8" max="8" width="11.285156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91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2"/>
      <c r="H12" s="5"/>
    </row>
    <row r="13" spans="1:8">
      <c r="A13" s="6" t="s">
        <v>15</v>
      </c>
      <c r="B13" s="6">
        <v>8000</v>
      </c>
      <c r="C13" s="6">
        <v>0</v>
      </c>
      <c r="D13" s="6">
        <v>8000</v>
      </c>
      <c r="E13" s="6">
        <v>0</v>
      </c>
      <c r="F13" s="6">
        <v>8000</v>
      </c>
      <c r="G13" s="12">
        <f>(F13-B13)/ABS(B13)</f>
        <v>0</v>
      </c>
      <c r="H13" s="5"/>
    </row>
    <row r="14" spans="1:8">
      <c r="A14" s="6" t="s">
        <v>24</v>
      </c>
      <c r="B14" s="6">
        <v>28048.82</v>
      </c>
      <c r="C14" s="6">
        <v>25294.54</v>
      </c>
      <c r="D14" s="6">
        <v>28048.82</v>
      </c>
      <c r="E14" s="6">
        <v>25294.54</v>
      </c>
      <c r="F14" s="6">
        <v>28000</v>
      </c>
      <c r="G14" s="12">
        <f t="shared" ref="G14:G30" si="0">(F14-B14)/ABS(B14)</f>
        <v>-1.7405366785483208E-3</v>
      </c>
      <c r="H14" s="5"/>
    </row>
    <row r="15" spans="1:8">
      <c r="A15" s="6" t="s">
        <v>25</v>
      </c>
      <c r="B15" s="6">
        <v>5311</v>
      </c>
      <c r="C15" s="6">
        <v>0</v>
      </c>
      <c r="D15" s="6">
        <v>5311</v>
      </c>
      <c r="E15" s="6">
        <v>0</v>
      </c>
      <c r="F15" s="6">
        <v>0</v>
      </c>
      <c r="G15" s="12">
        <f t="shared" si="0"/>
        <v>-1</v>
      </c>
      <c r="H15" s="5"/>
    </row>
    <row r="16" spans="1:8">
      <c r="A16" s="6" t="s">
        <v>26</v>
      </c>
      <c r="B16" s="6">
        <v>5802.89</v>
      </c>
      <c r="C16" s="6">
        <v>0</v>
      </c>
      <c r="D16" s="6">
        <v>5802.89</v>
      </c>
      <c r="E16" s="6">
        <v>0</v>
      </c>
      <c r="F16" s="6">
        <v>20000</v>
      </c>
      <c r="G16" s="12">
        <f t="shared" si="0"/>
        <v>2.4465585251486757</v>
      </c>
      <c r="H16" s="5"/>
    </row>
    <row r="17" spans="1:8">
      <c r="A17" s="6" t="s">
        <v>27</v>
      </c>
      <c r="B17" s="6">
        <v>10000</v>
      </c>
      <c r="C17" s="6">
        <v>0</v>
      </c>
      <c r="D17" s="6">
        <v>10000</v>
      </c>
      <c r="E17" s="6">
        <v>0</v>
      </c>
      <c r="F17" s="6">
        <v>10000</v>
      </c>
      <c r="G17" s="12">
        <f t="shared" si="0"/>
        <v>0</v>
      </c>
      <c r="H17" s="5"/>
    </row>
    <row r="18" spans="1:8">
      <c r="A18" s="6"/>
      <c r="B18" s="6">
        <v>57162.71</v>
      </c>
      <c r="C18" s="6">
        <v>25294.54</v>
      </c>
      <c r="D18" s="6">
        <v>57162.71</v>
      </c>
      <c r="E18" s="6">
        <v>25294.54</v>
      </c>
      <c r="F18" s="6"/>
      <c r="G18" s="12">
        <f t="shared" si="0"/>
        <v>-1</v>
      </c>
      <c r="H18" s="5"/>
    </row>
    <row r="19" spans="1:8">
      <c r="A19" s="4"/>
      <c r="B19" s="4"/>
      <c r="C19" s="4"/>
      <c r="D19" s="4"/>
      <c r="E19" s="4"/>
      <c r="G19" s="13"/>
    </row>
    <row r="20" spans="1:8">
      <c r="A20" s="6" t="s">
        <v>88</v>
      </c>
      <c r="B20" s="6"/>
      <c r="C20" s="6"/>
      <c r="D20" s="6"/>
      <c r="E20" s="6"/>
      <c r="F20" s="6"/>
      <c r="G20" s="12"/>
      <c r="H20" s="5"/>
    </row>
    <row r="21" spans="1:8">
      <c r="A21" s="6" t="s">
        <v>31</v>
      </c>
      <c r="B21" s="6">
        <v>-4437.76</v>
      </c>
      <c r="C21" s="6">
        <v>-4268.29</v>
      </c>
      <c r="D21" s="6">
        <v>-4437.76</v>
      </c>
      <c r="E21" s="6">
        <v>-4268.29</v>
      </c>
      <c r="F21" s="6">
        <v>5000</v>
      </c>
      <c r="G21" s="12">
        <f t="shared" si="0"/>
        <v>2.1266945486010962</v>
      </c>
      <c r="H21" s="5"/>
    </row>
    <row r="22" spans="1:8">
      <c r="A22" s="6" t="s">
        <v>34</v>
      </c>
      <c r="B22" s="6">
        <v>-10000</v>
      </c>
      <c r="C22" s="6">
        <v>-7950</v>
      </c>
      <c r="D22" s="6">
        <v>-10000</v>
      </c>
      <c r="E22" s="6">
        <v>-7950</v>
      </c>
      <c r="F22" s="6">
        <v>10000</v>
      </c>
      <c r="G22" s="12">
        <f t="shared" si="0"/>
        <v>2</v>
      </c>
      <c r="H22" s="5"/>
    </row>
    <row r="23" spans="1:8">
      <c r="A23" s="6" t="s">
        <v>35</v>
      </c>
      <c r="B23" s="6">
        <v>-600</v>
      </c>
      <c r="C23" s="6">
        <v>-6826.16</v>
      </c>
      <c r="D23" s="6">
        <v>-600</v>
      </c>
      <c r="E23" s="6">
        <v>-6826.16</v>
      </c>
      <c r="F23" s="6">
        <v>17000</v>
      </c>
      <c r="G23" s="12">
        <f t="shared" si="0"/>
        <v>29.333333333333332</v>
      </c>
      <c r="H23" s="5"/>
    </row>
    <row r="24" spans="1:8">
      <c r="A24" s="6" t="s">
        <v>48</v>
      </c>
      <c r="B24" s="6">
        <v>-26005</v>
      </c>
      <c r="C24" s="6">
        <v>-4849</v>
      </c>
      <c r="D24" s="6">
        <v>-26005</v>
      </c>
      <c r="E24" s="6">
        <v>-4849</v>
      </c>
      <c r="F24" s="6">
        <v>20000</v>
      </c>
      <c r="G24" s="12">
        <f t="shared" si="0"/>
        <v>1.7690828686791003</v>
      </c>
      <c r="H24" s="5"/>
    </row>
    <row r="25" spans="1:8">
      <c r="A25" s="6" t="s">
        <v>60</v>
      </c>
      <c r="B25" s="6">
        <v>-4166.67</v>
      </c>
      <c r="C25" s="6">
        <v>-3125</v>
      </c>
      <c r="D25" s="6">
        <v>-4166.67</v>
      </c>
      <c r="E25" s="6">
        <v>-3125</v>
      </c>
      <c r="F25" s="6">
        <v>4000</v>
      </c>
      <c r="G25" s="12">
        <f t="shared" si="0"/>
        <v>1.9599992320006143</v>
      </c>
      <c r="H25" s="5"/>
    </row>
    <row r="26" spans="1:8">
      <c r="A26" s="6" t="s">
        <v>61</v>
      </c>
      <c r="B26" s="6">
        <v>-3187.5</v>
      </c>
      <c r="C26" s="6">
        <v>-3700</v>
      </c>
      <c r="D26" s="6">
        <v>-3187.5</v>
      </c>
      <c r="E26" s="6">
        <v>-3700</v>
      </c>
      <c r="F26" s="6">
        <v>3200</v>
      </c>
      <c r="G26" s="12">
        <f t="shared" si="0"/>
        <v>2.003921568627451</v>
      </c>
      <c r="H26" s="5"/>
    </row>
    <row r="27" spans="1:8">
      <c r="A27" s="6" t="s">
        <v>62</v>
      </c>
      <c r="B27" s="6">
        <v>-469</v>
      </c>
      <c r="C27" s="6">
        <v>-518</v>
      </c>
      <c r="D27" s="6">
        <v>-469</v>
      </c>
      <c r="E27" s="6">
        <v>-518</v>
      </c>
      <c r="F27" s="6">
        <v>0</v>
      </c>
      <c r="G27" s="12">
        <f t="shared" si="0"/>
        <v>1</v>
      </c>
      <c r="H27" s="5"/>
    </row>
    <row r="28" spans="1:8">
      <c r="A28" s="6"/>
      <c r="B28" s="6">
        <v>-48865.93</v>
      </c>
      <c r="C28" s="6">
        <v>-31236.45</v>
      </c>
      <c r="D28" s="6">
        <v>-48865.93</v>
      </c>
      <c r="E28" s="6">
        <v>-31236.45</v>
      </c>
      <c r="F28" s="6"/>
      <c r="G28" s="12">
        <f t="shared" si="0"/>
        <v>1</v>
      </c>
      <c r="H28" s="5"/>
    </row>
    <row r="29" spans="1:8">
      <c r="A29" s="4"/>
      <c r="B29" s="4"/>
      <c r="C29" s="4"/>
      <c r="D29" s="4"/>
      <c r="E29" s="4"/>
      <c r="G29" s="13"/>
    </row>
    <row r="30" spans="1:8">
      <c r="A30" s="6" t="s">
        <v>70</v>
      </c>
      <c r="B30" s="6">
        <v>8296.7800000000007</v>
      </c>
      <c r="C30" s="6">
        <v>-5941.91</v>
      </c>
      <c r="D30" s="6">
        <v>8296.7800000000007</v>
      </c>
      <c r="E30" s="6">
        <v>-5941.91</v>
      </c>
      <c r="F30" s="6">
        <f>SUM(F13:F18)-SUM(F21:F28)</f>
        <v>6800</v>
      </c>
      <c r="G30" s="12">
        <f t="shared" si="0"/>
        <v>-0.18040492817695547</v>
      </c>
      <c r="H30" s="5"/>
    </row>
    <row r="31" spans="1:8">
      <c r="A31" s="4"/>
      <c r="B31" s="4"/>
      <c r="C31" s="4"/>
      <c r="D31" s="4"/>
      <c r="E31" s="4"/>
      <c r="G31" s="13"/>
    </row>
  </sheetData>
  <mergeCells count="2">
    <mergeCell ref="B9:E9"/>
    <mergeCell ref="F9:H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7747A-2C9B-414A-85B3-6F9FB22C7988}">
  <dimension ref="A1:H31"/>
  <sheetViews>
    <sheetView zoomScaleNormal="100" workbookViewId="0">
      <selection activeCell="H25" sqref="H25"/>
    </sheetView>
  </sheetViews>
  <sheetFormatPr defaultRowHeight="15"/>
  <cols>
    <col min="1" max="1" width="38.140625" bestFit="1" customWidth="1"/>
    <col min="2" max="4" width="12.85546875" bestFit="1" customWidth="1"/>
    <col min="5" max="5" width="15.42578125" bestFit="1" customWidth="1"/>
    <col min="6" max="6" width="12.85546875" bestFit="1" customWidth="1"/>
    <col min="7" max="7" width="9.7109375" bestFit="1" customWidth="1"/>
    <col min="8" max="8" width="25.710937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92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5"/>
      <c r="H12" s="5"/>
    </row>
    <row r="13" spans="1:8">
      <c r="A13" s="5" t="s">
        <v>15</v>
      </c>
      <c r="B13" s="6">
        <v>0</v>
      </c>
      <c r="C13" s="6">
        <v>10000</v>
      </c>
      <c r="D13" s="6">
        <v>0</v>
      </c>
      <c r="E13" s="6">
        <v>10000</v>
      </c>
      <c r="F13" s="6">
        <v>10000</v>
      </c>
      <c r="G13" s="12" t="e">
        <f>(F13-B13)/ABS(B13)</f>
        <v>#DIV/0!</v>
      </c>
      <c r="H13" s="5"/>
    </row>
    <row r="14" spans="1:8">
      <c r="A14" s="5" t="s">
        <v>24</v>
      </c>
      <c r="B14" s="6">
        <v>33764.76</v>
      </c>
      <c r="C14" s="6">
        <v>26236.1</v>
      </c>
      <c r="D14" s="6">
        <v>33764.76</v>
      </c>
      <c r="E14" s="6">
        <v>26236.1</v>
      </c>
      <c r="F14" s="6">
        <v>50000</v>
      </c>
      <c r="G14" s="12">
        <f t="shared" ref="G14:G30" si="0">(F14-B14)/ABS(B14)</f>
        <v>0.48083386347185636</v>
      </c>
      <c r="H14" s="5"/>
    </row>
    <row r="15" spans="1:8">
      <c r="A15" s="5" t="s">
        <v>26</v>
      </c>
      <c r="B15" s="6">
        <v>2766.28</v>
      </c>
      <c r="C15" s="6">
        <v>0</v>
      </c>
      <c r="D15" s="6">
        <v>2766.28</v>
      </c>
      <c r="E15" s="6">
        <v>0</v>
      </c>
      <c r="F15" s="6">
        <v>2500</v>
      </c>
      <c r="G15" s="12">
        <f t="shared" si="0"/>
        <v>-9.6259236230605782E-2</v>
      </c>
      <c r="H15" s="5"/>
    </row>
    <row r="16" spans="1:8">
      <c r="A16" s="5" t="s">
        <v>27</v>
      </c>
      <c r="B16" s="6">
        <v>10000</v>
      </c>
      <c r="C16" s="6">
        <v>0</v>
      </c>
      <c r="D16" s="6">
        <v>10000</v>
      </c>
      <c r="E16" s="6">
        <v>0</v>
      </c>
      <c r="F16" s="6">
        <v>10000</v>
      </c>
      <c r="G16" s="12">
        <f t="shared" si="0"/>
        <v>0</v>
      </c>
      <c r="H16" s="5"/>
    </row>
    <row r="17" spans="1:8">
      <c r="A17" s="5"/>
      <c r="B17" s="6">
        <v>46531.040000000001</v>
      </c>
      <c r="C17" s="6">
        <v>36236.1</v>
      </c>
      <c r="D17" s="6">
        <v>46531.040000000001</v>
      </c>
      <c r="E17" s="6">
        <v>36236.1</v>
      </c>
      <c r="F17" s="6"/>
      <c r="G17" s="12">
        <f t="shared" si="0"/>
        <v>-1</v>
      </c>
      <c r="H17" s="5"/>
    </row>
    <row r="18" spans="1:8">
      <c r="B18" s="4"/>
      <c r="C18" s="4"/>
      <c r="D18" s="4"/>
      <c r="E18" s="4"/>
      <c r="G18" s="13"/>
    </row>
    <row r="19" spans="1:8">
      <c r="A19" s="5" t="s">
        <v>88</v>
      </c>
      <c r="B19" s="6"/>
      <c r="C19" s="6"/>
      <c r="D19" s="6"/>
      <c r="E19" s="6"/>
      <c r="F19" s="6"/>
      <c r="G19" s="12"/>
      <c r="H19" s="5"/>
    </row>
    <row r="20" spans="1:8">
      <c r="A20" s="5" t="s">
        <v>31</v>
      </c>
      <c r="B20" s="6">
        <v>-9369.77</v>
      </c>
      <c r="C20" s="6">
        <v>-7242.8</v>
      </c>
      <c r="D20" s="6">
        <v>-9369.77</v>
      </c>
      <c r="E20" s="6">
        <v>-7242.8</v>
      </c>
      <c r="F20" s="6">
        <v>10000</v>
      </c>
      <c r="G20" s="12">
        <f t="shared" si="0"/>
        <v>2.0672620565926376</v>
      </c>
      <c r="H20" s="5"/>
    </row>
    <row r="21" spans="1:8">
      <c r="A21" s="5" t="s">
        <v>34</v>
      </c>
      <c r="B21" s="6">
        <v>-20000</v>
      </c>
      <c r="C21" s="6">
        <v>-15600</v>
      </c>
      <c r="D21" s="6">
        <v>-20000</v>
      </c>
      <c r="E21" s="6">
        <v>-15600</v>
      </c>
      <c r="F21" s="6">
        <v>20000</v>
      </c>
      <c r="G21" s="12">
        <f t="shared" si="0"/>
        <v>2</v>
      </c>
      <c r="H21" s="5"/>
    </row>
    <row r="22" spans="1:8">
      <c r="A22" s="5" t="s">
        <v>35</v>
      </c>
      <c r="B22" s="6">
        <v>-2400</v>
      </c>
      <c r="C22" s="6">
        <v>-15000</v>
      </c>
      <c r="D22" s="6">
        <v>-2400</v>
      </c>
      <c r="E22" s="6">
        <v>-15000</v>
      </c>
      <c r="F22" s="6">
        <v>13000</v>
      </c>
      <c r="G22" s="12">
        <f t="shared" si="0"/>
        <v>6.416666666666667</v>
      </c>
      <c r="H22" s="5"/>
    </row>
    <row r="23" spans="1:8">
      <c r="A23" s="5" t="s">
        <v>45</v>
      </c>
      <c r="B23" s="6">
        <v>-20700</v>
      </c>
      <c r="C23" s="6">
        <v>-9061.07</v>
      </c>
      <c r="D23" s="6">
        <v>-20700</v>
      </c>
      <c r="E23" s="6">
        <v>-9061.07</v>
      </c>
      <c r="F23" s="6">
        <v>10000</v>
      </c>
      <c r="G23" s="12">
        <f t="shared" si="0"/>
        <v>1.4830917874396135</v>
      </c>
      <c r="H23" s="5"/>
    </row>
    <row r="24" spans="1:8">
      <c r="A24" s="5" t="s">
        <v>48</v>
      </c>
      <c r="B24" s="6">
        <v>-9576.9</v>
      </c>
      <c r="C24" s="6">
        <v>-11092.4</v>
      </c>
      <c r="D24" s="6">
        <v>-9576.9</v>
      </c>
      <c r="E24" s="6">
        <v>-11092.4</v>
      </c>
      <c r="F24" s="6">
        <v>10000</v>
      </c>
      <c r="G24" s="12">
        <f t="shared" si="0"/>
        <v>2.0441792229218225</v>
      </c>
      <c r="H24" s="5" t="s">
        <v>93</v>
      </c>
    </row>
    <row r="25" spans="1:8">
      <c r="A25" s="5" t="s">
        <v>57</v>
      </c>
      <c r="B25" s="6">
        <v>-8058.37</v>
      </c>
      <c r="C25" s="6">
        <v>0</v>
      </c>
      <c r="D25" s="6">
        <v>-8058.37</v>
      </c>
      <c r="E25" s="6">
        <v>0</v>
      </c>
      <c r="F25" s="6">
        <v>0</v>
      </c>
      <c r="G25" s="12">
        <f t="shared" si="0"/>
        <v>1</v>
      </c>
      <c r="H25" s="5"/>
    </row>
    <row r="26" spans="1:8">
      <c r="A26" s="5" t="s">
        <v>60</v>
      </c>
      <c r="B26" s="6">
        <v>-4166.67</v>
      </c>
      <c r="C26" s="6">
        <v>-3125</v>
      </c>
      <c r="D26" s="6">
        <v>-4166.67</v>
      </c>
      <c r="E26" s="6">
        <v>-3125</v>
      </c>
      <c r="F26" s="6">
        <v>4200</v>
      </c>
      <c r="G26" s="12">
        <f t="shared" si="0"/>
        <v>2.0079991936006452</v>
      </c>
      <c r="H26" s="5"/>
    </row>
    <row r="27" spans="1:8">
      <c r="A27" s="5" t="s">
        <v>61</v>
      </c>
      <c r="B27" s="6">
        <v>-4637.5</v>
      </c>
      <c r="C27" s="6">
        <v>-2200</v>
      </c>
      <c r="D27" s="6">
        <v>-4637.5</v>
      </c>
      <c r="E27" s="6">
        <v>-2200</v>
      </c>
      <c r="F27" s="6">
        <v>4700</v>
      </c>
      <c r="G27" s="12">
        <f t="shared" si="0"/>
        <v>2.013477088948787</v>
      </c>
      <c r="H27" s="5"/>
    </row>
    <row r="28" spans="1:8">
      <c r="A28" s="5"/>
      <c r="B28" s="6">
        <v>-78909.210000000006</v>
      </c>
      <c r="C28" s="6">
        <v>-63321.27</v>
      </c>
      <c r="D28" s="6">
        <v>-78909.210000000006</v>
      </c>
      <c r="E28" s="6">
        <v>-63321.27</v>
      </c>
      <c r="F28" s="6"/>
      <c r="G28" s="12">
        <f t="shared" si="0"/>
        <v>1</v>
      </c>
      <c r="H28" s="5"/>
    </row>
    <row r="29" spans="1:8">
      <c r="B29" s="4"/>
      <c r="C29" s="4"/>
      <c r="D29" s="4"/>
      <c r="E29" s="4"/>
      <c r="G29" s="13"/>
    </row>
    <row r="30" spans="1:8">
      <c r="A30" s="5" t="s">
        <v>70</v>
      </c>
      <c r="B30" s="6">
        <v>-32378.17</v>
      </c>
      <c r="C30" s="6">
        <v>-27085.17</v>
      </c>
      <c r="D30" s="6">
        <v>-32378.17</v>
      </c>
      <c r="E30" s="6">
        <v>-27085.17</v>
      </c>
      <c r="F30" s="6">
        <f>SUM(F13:F17)-SUM(F20:F28)</f>
        <v>600</v>
      </c>
      <c r="G30" s="12">
        <f t="shared" si="0"/>
        <v>1.0185310040684818</v>
      </c>
      <c r="H30" s="5"/>
    </row>
    <row r="31" spans="1:8">
      <c r="B31" s="4"/>
      <c r="C31" s="4"/>
      <c r="D31" s="4"/>
      <c r="E31" s="4"/>
      <c r="G31" s="13"/>
    </row>
  </sheetData>
  <mergeCells count="2">
    <mergeCell ref="B9:E9"/>
    <mergeCell ref="F9:H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21A5A-81F4-40A0-8CCE-0B3DF1C6167A}">
  <dimension ref="A1:H35"/>
  <sheetViews>
    <sheetView tabSelected="1" zoomScaleNormal="100" workbookViewId="0">
      <selection activeCell="F26" sqref="F26"/>
    </sheetView>
  </sheetViews>
  <sheetFormatPr defaultRowHeight="15"/>
  <cols>
    <col min="1" max="1" width="38.140625" bestFit="1" customWidth="1"/>
    <col min="2" max="4" width="13.7109375" bestFit="1" customWidth="1"/>
    <col min="5" max="5" width="15.42578125" bestFit="1" customWidth="1"/>
    <col min="6" max="6" width="13.7109375" bestFit="1" customWidth="1"/>
    <col min="7" max="7" width="9.7109375" bestFit="1" customWidth="1"/>
    <col min="8" max="8" width="52.1406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94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2"/>
      <c r="H12" s="5"/>
    </row>
    <row r="13" spans="1:8">
      <c r="A13" s="5" t="s">
        <v>15</v>
      </c>
      <c r="B13" s="6">
        <v>50000</v>
      </c>
      <c r="C13" s="6">
        <v>25000</v>
      </c>
      <c r="D13" s="6">
        <v>50000</v>
      </c>
      <c r="E13" s="6">
        <v>25000</v>
      </c>
      <c r="F13" s="6">
        <v>50000</v>
      </c>
      <c r="G13" s="12">
        <f>(F13-B13)/ABS(B13)</f>
        <v>0</v>
      </c>
      <c r="H13" s="5"/>
    </row>
    <row r="14" spans="1:8">
      <c r="A14" s="5" t="s">
        <v>21</v>
      </c>
      <c r="B14" s="6">
        <v>25000</v>
      </c>
      <c r="C14" s="6">
        <v>0</v>
      </c>
      <c r="D14" s="6">
        <v>25000</v>
      </c>
      <c r="E14" s="6">
        <v>0</v>
      </c>
      <c r="F14" s="6">
        <v>0</v>
      </c>
      <c r="G14" s="12">
        <f t="shared" ref="G14:G34" si="0">(F14-B14)/ABS(B14)</f>
        <v>-1</v>
      </c>
      <c r="H14" s="5"/>
    </row>
    <row r="15" spans="1:8">
      <c r="A15" s="6" t="s">
        <v>26</v>
      </c>
      <c r="B15" s="6"/>
      <c r="C15" s="6"/>
      <c r="D15" s="6"/>
      <c r="E15" s="6"/>
      <c r="F15" s="6">
        <v>15000</v>
      </c>
      <c r="G15" s="12"/>
      <c r="H15" s="5" t="s">
        <v>95</v>
      </c>
    </row>
    <row r="16" spans="1:8">
      <c r="A16" s="5" t="s">
        <v>24</v>
      </c>
      <c r="B16" s="6">
        <v>58670.74</v>
      </c>
      <c r="C16" s="6">
        <v>42829.4</v>
      </c>
      <c r="D16" s="6">
        <v>58670.74</v>
      </c>
      <c r="E16" s="6">
        <v>42829.4</v>
      </c>
      <c r="F16" s="6">
        <v>64000</v>
      </c>
      <c r="G16" s="12">
        <f t="shared" si="0"/>
        <v>9.0833352366102807E-2</v>
      </c>
      <c r="H16" s="5"/>
    </row>
    <row r="17" spans="1:8">
      <c r="A17" s="5" t="s">
        <v>27</v>
      </c>
      <c r="B17" s="6">
        <v>10000</v>
      </c>
      <c r="C17" s="6">
        <v>0</v>
      </c>
      <c r="D17" s="6">
        <v>10000</v>
      </c>
      <c r="E17" s="6">
        <v>0</v>
      </c>
      <c r="F17" s="6">
        <v>10000</v>
      </c>
      <c r="G17" s="12">
        <f t="shared" si="0"/>
        <v>0</v>
      </c>
      <c r="H17" s="5"/>
    </row>
    <row r="18" spans="1:8">
      <c r="A18" s="5"/>
      <c r="B18" s="6">
        <v>143670.74</v>
      </c>
      <c r="C18" s="6">
        <v>67829.399999999994</v>
      </c>
      <c r="D18" s="6">
        <v>143670.74</v>
      </c>
      <c r="E18" s="6">
        <v>67829.399999999994</v>
      </c>
      <c r="F18" s="6"/>
      <c r="G18" s="12">
        <f t="shared" si="0"/>
        <v>-1</v>
      </c>
      <c r="H18" s="5"/>
    </row>
    <row r="19" spans="1:8">
      <c r="B19" s="4"/>
      <c r="C19" s="4"/>
      <c r="D19" s="4"/>
      <c r="E19" s="4"/>
      <c r="G19" s="13"/>
    </row>
    <row r="20" spans="1:8">
      <c r="A20" s="5" t="s">
        <v>88</v>
      </c>
      <c r="B20" s="6"/>
      <c r="C20" s="6"/>
      <c r="D20" s="6"/>
      <c r="E20" s="6"/>
      <c r="F20" s="6"/>
      <c r="G20" s="12"/>
      <c r="H20" s="5"/>
    </row>
    <row r="21" spans="1:8">
      <c r="A21" s="5" t="s">
        <v>31</v>
      </c>
      <c r="B21" s="6">
        <v>-30245.18</v>
      </c>
      <c r="C21" s="6">
        <v>-29302.2</v>
      </c>
      <c r="D21" s="6">
        <v>-30245.18</v>
      </c>
      <c r="E21" s="6">
        <v>-29302.2</v>
      </c>
      <c r="F21" s="6">
        <v>45000</v>
      </c>
      <c r="G21" s="12">
        <f t="shared" si="0"/>
        <v>2.4878403765492547</v>
      </c>
      <c r="H21" s="5"/>
    </row>
    <row r="22" spans="1:8">
      <c r="A22" s="5" t="s">
        <v>32</v>
      </c>
      <c r="B22" s="6">
        <v>-70000</v>
      </c>
      <c r="C22" s="6">
        <v>-50000</v>
      </c>
      <c r="D22" s="6">
        <v>-70000</v>
      </c>
      <c r="E22" s="6">
        <v>-50000</v>
      </c>
      <c r="F22" s="6">
        <v>100000</v>
      </c>
      <c r="G22" s="12">
        <f t="shared" si="0"/>
        <v>2.4285714285714284</v>
      </c>
      <c r="H22" s="5"/>
    </row>
    <row r="23" spans="1:8">
      <c r="A23" s="5" t="s">
        <v>33</v>
      </c>
      <c r="B23" s="6">
        <v>-6120</v>
      </c>
      <c r="C23" s="6">
        <v>-5100</v>
      </c>
      <c r="D23" s="6">
        <v>-6120</v>
      </c>
      <c r="E23" s="6">
        <v>-5100</v>
      </c>
      <c r="F23" s="6">
        <v>8500</v>
      </c>
      <c r="G23" s="12">
        <f t="shared" si="0"/>
        <v>2.3888888888888888</v>
      </c>
      <c r="H23" s="5"/>
    </row>
    <row r="24" spans="1:8">
      <c r="A24" s="5" t="s">
        <v>34</v>
      </c>
      <c r="B24" s="6">
        <v>-27000</v>
      </c>
      <c r="C24" s="6">
        <v>-15600</v>
      </c>
      <c r="D24" s="6">
        <v>-27000</v>
      </c>
      <c r="E24" s="6">
        <v>-15600</v>
      </c>
      <c r="F24" s="6">
        <v>27000</v>
      </c>
      <c r="G24" s="12">
        <f t="shared" si="0"/>
        <v>2</v>
      </c>
      <c r="H24" s="5"/>
    </row>
    <row r="25" spans="1:8">
      <c r="A25" s="5" t="s">
        <v>35</v>
      </c>
      <c r="B25" s="6">
        <v>-3600</v>
      </c>
      <c r="C25" s="6">
        <v>-2400</v>
      </c>
      <c r="D25" s="6">
        <v>-3600</v>
      </c>
      <c r="E25" s="6">
        <v>-2400</v>
      </c>
      <c r="F25" s="6">
        <v>3600</v>
      </c>
      <c r="G25" s="12">
        <f t="shared" si="0"/>
        <v>2</v>
      </c>
      <c r="H25" s="5" t="s">
        <v>96</v>
      </c>
    </row>
    <row r="26" spans="1:8">
      <c r="A26" s="5" t="s">
        <v>45</v>
      </c>
      <c r="B26" s="6">
        <v>-55194.01</v>
      </c>
      <c r="C26" s="6">
        <v>-48383.69</v>
      </c>
      <c r="D26" s="6">
        <v>-55194.01</v>
      </c>
      <c r="E26" s="6">
        <v>-48383.69</v>
      </c>
      <c r="F26" s="6">
        <v>10000</v>
      </c>
      <c r="G26" s="12">
        <f t="shared" si="0"/>
        <v>1.1811790808459106</v>
      </c>
      <c r="H26" s="5"/>
    </row>
    <row r="27" spans="1:8">
      <c r="A27" s="5" t="s">
        <v>48</v>
      </c>
      <c r="B27" s="6">
        <v>-54333.2</v>
      </c>
      <c r="C27" s="6">
        <v>-33789.15</v>
      </c>
      <c r="D27" s="6">
        <v>-54333.2</v>
      </c>
      <c r="E27" s="6">
        <v>-33789.15</v>
      </c>
      <c r="F27" s="6">
        <v>35000</v>
      </c>
      <c r="G27" s="12">
        <f t="shared" si="0"/>
        <v>1.6441733599346255</v>
      </c>
      <c r="H27" s="5"/>
    </row>
    <row r="28" spans="1:8">
      <c r="A28" s="5" t="s">
        <v>60</v>
      </c>
      <c r="B28" s="6">
        <v>-4166.66</v>
      </c>
      <c r="C28" s="6">
        <v>-3125</v>
      </c>
      <c r="D28" s="6">
        <v>-4166.66</v>
      </c>
      <c r="E28" s="6">
        <v>-3125</v>
      </c>
      <c r="F28" s="6">
        <v>4100</v>
      </c>
      <c r="G28" s="12">
        <f t="shared" si="0"/>
        <v>1.984001574402519</v>
      </c>
      <c r="H28" s="5"/>
    </row>
    <row r="29" spans="1:8">
      <c r="A29" s="5" t="s">
        <v>61</v>
      </c>
      <c r="B29" s="6">
        <v>-2187.5</v>
      </c>
      <c r="C29" s="6">
        <v>-6200</v>
      </c>
      <c r="D29" s="6">
        <v>-2187.5</v>
      </c>
      <c r="E29" s="6">
        <v>-6200</v>
      </c>
      <c r="F29" s="6">
        <v>2200</v>
      </c>
      <c r="G29" s="12">
        <f t="shared" si="0"/>
        <v>2.0057142857142858</v>
      </c>
      <c r="H29" s="5"/>
    </row>
    <row r="30" spans="1:8">
      <c r="A30" s="5" t="s">
        <v>63</v>
      </c>
      <c r="B30" s="6">
        <v>-3230.9</v>
      </c>
      <c r="C30" s="6">
        <v>0</v>
      </c>
      <c r="D30" s="6">
        <v>-3230.9</v>
      </c>
      <c r="E30" s="6">
        <v>0</v>
      </c>
      <c r="F30" s="6">
        <v>3000</v>
      </c>
      <c r="G30" s="12">
        <f t="shared" si="0"/>
        <v>1.9285338450586522</v>
      </c>
      <c r="H30" s="5"/>
    </row>
    <row r="31" spans="1:8">
      <c r="A31" s="5" t="s">
        <v>67</v>
      </c>
      <c r="B31" s="6">
        <v>0</v>
      </c>
      <c r="C31" s="6">
        <v>-500</v>
      </c>
      <c r="D31" s="6">
        <v>0</v>
      </c>
      <c r="E31" s="6">
        <v>-500</v>
      </c>
      <c r="F31" s="6"/>
      <c r="G31" s="12"/>
      <c r="H31" s="5"/>
    </row>
    <row r="32" spans="1:8">
      <c r="A32" s="5"/>
      <c r="B32" s="6">
        <v>-256077.45</v>
      </c>
      <c r="C32" s="6">
        <v>-194400.04</v>
      </c>
      <c r="D32" s="6">
        <v>-256077.45</v>
      </c>
      <c r="E32" s="6">
        <v>-194400.04</v>
      </c>
      <c r="F32" s="6"/>
      <c r="G32" s="12">
        <f t="shared" si="0"/>
        <v>1</v>
      </c>
      <c r="H32" s="5"/>
    </row>
    <row r="33" spans="1:8">
      <c r="B33" s="4"/>
      <c r="C33" s="4"/>
      <c r="D33" s="4"/>
      <c r="E33" s="4"/>
      <c r="G33" s="13"/>
    </row>
    <row r="34" spans="1:8">
      <c r="A34" s="5" t="s">
        <v>70</v>
      </c>
      <c r="B34" s="6">
        <v>-112406.71</v>
      </c>
      <c r="C34" s="6">
        <v>-126570.64</v>
      </c>
      <c r="D34" s="6">
        <v>-112406.71</v>
      </c>
      <c r="E34" s="6">
        <v>-126570.64</v>
      </c>
      <c r="F34" s="6">
        <f>SUM(F13:F18)-SUM(F21:F32)</f>
        <v>-99400</v>
      </c>
      <c r="G34" s="12">
        <f t="shared" si="0"/>
        <v>0.11571115283064512</v>
      </c>
      <c r="H34" s="5"/>
    </row>
    <row r="35" spans="1:8">
      <c r="B35" s="4"/>
      <c r="C35" s="4"/>
      <c r="D35" s="4"/>
      <c r="E35" s="4"/>
      <c r="G35" s="13"/>
    </row>
  </sheetData>
  <mergeCells count="2">
    <mergeCell ref="B9:E9"/>
    <mergeCell ref="F9:H9"/>
  </mergeCells>
  <pageMargins left="0.7" right="0.7" top="0.75" bottom="0.75" header="0.3" footer="0.3"/>
  <pageSetup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62B2A-8909-430C-AB9E-8C750C11EB61}">
  <dimension ref="A1:H23"/>
  <sheetViews>
    <sheetView zoomScaleNormal="100" workbookViewId="0">
      <selection activeCell="H19" sqref="H19"/>
    </sheetView>
  </sheetViews>
  <sheetFormatPr defaultRowHeight="15"/>
  <cols>
    <col min="1" max="1" width="44.42578125" bestFit="1" customWidth="1"/>
    <col min="2" max="2" width="12.42578125" bestFit="1" customWidth="1"/>
    <col min="3" max="3" width="12.7109375" bestFit="1" customWidth="1"/>
    <col min="4" max="4" width="12.42578125" bestFit="1" customWidth="1"/>
    <col min="5" max="5" width="15.42578125" bestFit="1" customWidth="1"/>
    <col min="6" max="6" width="12.85546875" bestFit="1" customWidth="1"/>
    <col min="7" max="7" width="9.7109375" bestFit="1" customWidth="1"/>
    <col min="8" max="8" width="17.710937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97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2"/>
      <c r="H12" s="5"/>
    </row>
    <row r="13" spans="1:8">
      <c r="A13" s="5" t="s">
        <v>19</v>
      </c>
      <c r="B13" s="7">
        <v>13266.65</v>
      </c>
      <c r="C13" s="7">
        <v>12243.02</v>
      </c>
      <c r="D13" s="7">
        <v>13266.65</v>
      </c>
      <c r="E13" s="7">
        <v>12243.02</v>
      </c>
      <c r="F13" s="6">
        <v>13500</v>
      </c>
      <c r="G13" s="12">
        <f>(F13-B13)/ABS(B13)</f>
        <v>1.7589218076907161E-2</v>
      </c>
      <c r="H13" s="5"/>
    </row>
    <row r="14" spans="1:8">
      <c r="B14" s="3"/>
      <c r="C14" s="3"/>
      <c r="D14" s="3"/>
      <c r="E14" s="3"/>
      <c r="G14" s="13"/>
    </row>
    <row r="15" spans="1:8">
      <c r="A15" s="5" t="s">
        <v>88</v>
      </c>
      <c r="B15" s="7"/>
      <c r="C15" s="7"/>
      <c r="D15" s="7"/>
      <c r="E15" s="7"/>
      <c r="F15" s="6"/>
      <c r="G15" s="12"/>
      <c r="H15" s="5"/>
    </row>
    <row r="16" spans="1:8">
      <c r="A16" s="5" t="s">
        <v>30</v>
      </c>
      <c r="B16" s="7">
        <v>0</v>
      </c>
      <c r="C16" s="7">
        <v>-800</v>
      </c>
      <c r="D16" s="7">
        <v>0</v>
      </c>
      <c r="E16" s="7">
        <v>-800</v>
      </c>
      <c r="F16" s="6">
        <v>3000</v>
      </c>
      <c r="G16" s="12" t="e">
        <f t="shared" ref="G16:G22" si="0">(F16-B16)/ABS(B16)</f>
        <v>#DIV/0!</v>
      </c>
      <c r="H16" s="5"/>
    </row>
    <row r="17" spans="1:8">
      <c r="A17" s="5" t="s">
        <v>31</v>
      </c>
      <c r="B17" s="7"/>
      <c r="C17" s="7"/>
      <c r="D17" s="7"/>
      <c r="E17" s="7"/>
      <c r="F17" s="6">
        <v>10000</v>
      </c>
      <c r="G17" s="12"/>
      <c r="H17" s="5" t="s">
        <v>98</v>
      </c>
    </row>
    <row r="18" spans="1:8">
      <c r="A18" s="5" t="s">
        <v>48</v>
      </c>
      <c r="B18" s="7">
        <v>-1498.7</v>
      </c>
      <c r="C18" s="7">
        <v>0</v>
      </c>
      <c r="D18" s="7">
        <v>-1498.7</v>
      </c>
      <c r="E18" s="7">
        <v>0</v>
      </c>
      <c r="F18" s="6">
        <v>5000</v>
      </c>
      <c r="G18" s="12">
        <f t="shared" si="0"/>
        <v>4.336224728097684</v>
      </c>
      <c r="H18" s="5"/>
    </row>
    <row r="19" spans="1:8">
      <c r="A19" s="5" t="s">
        <v>62</v>
      </c>
      <c r="B19" s="7"/>
      <c r="C19" s="7"/>
      <c r="D19" s="7"/>
      <c r="E19" s="7"/>
      <c r="F19" s="6">
        <v>14000</v>
      </c>
      <c r="G19" s="12"/>
      <c r="H19" s="5" t="s">
        <v>99</v>
      </c>
    </row>
    <row r="20" spans="1:8">
      <c r="A20" s="5"/>
      <c r="B20" s="7">
        <v>-1498.7</v>
      </c>
      <c r="C20" s="7">
        <v>-800</v>
      </c>
      <c r="D20" s="7">
        <v>-1498.7</v>
      </c>
      <c r="E20" s="7">
        <v>-800</v>
      </c>
      <c r="F20" s="6"/>
      <c r="G20" s="12">
        <f t="shared" si="0"/>
        <v>1</v>
      </c>
      <c r="H20" s="5"/>
    </row>
    <row r="21" spans="1:8">
      <c r="B21" s="3"/>
      <c r="C21" s="3"/>
      <c r="D21" s="3"/>
      <c r="E21" s="3"/>
      <c r="G21" s="13"/>
    </row>
    <row r="22" spans="1:8">
      <c r="A22" s="5" t="s">
        <v>70</v>
      </c>
      <c r="B22" s="7">
        <v>11767.95</v>
      </c>
      <c r="C22" s="7">
        <v>11443.02</v>
      </c>
      <c r="D22" s="7">
        <v>11767.95</v>
      </c>
      <c r="E22" s="7">
        <v>11443.02</v>
      </c>
      <c r="F22" s="6">
        <f>SUM(F13)-SUM(F16:F20)</f>
        <v>-18500</v>
      </c>
      <c r="G22" s="12">
        <f t="shared" si="0"/>
        <v>-2.5720665026618907</v>
      </c>
      <c r="H22" s="5"/>
    </row>
    <row r="23" spans="1:8">
      <c r="B23" s="3"/>
      <c r="C23" s="3"/>
      <c r="D23" s="3"/>
      <c r="E23" s="3"/>
      <c r="G23" s="13"/>
    </row>
  </sheetData>
  <mergeCells count="2">
    <mergeCell ref="B9:E9"/>
    <mergeCell ref="F9:H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420E5-C1A2-4FF1-9937-85734ED0E013}">
  <dimension ref="A1:H30"/>
  <sheetViews>
    <sheetView topLeftCell="A4" zoomScaleNormal="100" workbookViewId="0">
      <selection activeCell="F30" sqref="F30"/>
    </sheetView>
  </sheetViews>
  <sheetFormatPr defaultRowHeight="15"/>
  <cols>
    <col min="1" max="1" width="38.7109375" bestFit="1" customWidth="1"/>
    <col min="2" max="4" width="12.85546875" bestFit="1" customWidth="1"/>
    <col min="5" max="5" width="15.42578125" bestFit="1" customWidth="1"/>
    <col min="6" max="6" width="12.85546875" bestFit="1" customWidth="1"/>
    <col min="7" max="7" width="9.7109375" bestFit="1" customWidth="1"/>
    <col min="8" max="8" width="11.285156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100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12"/>
      <c r="H12" s="5"/>
    </row>
    <row r="13" spans="1:8">
      <c r="A13" s="5" t="s">
        <v>20</v>
      </c>
      <c r="B13" s="6">
        <v>0</v>
      </c>
      <c r="C13" s="6">
        <v>62317</v>
      </c>
      <c r="D13" s="6">
        <v>0</v>
      </c>
      <c r="E13" s="6">
        <v>62317</v>
      </c>
      <c r="F13" s="6">
        <v>0</v>
      </c>
      <c r="G13" s="12" t="e">
        <f>(F13-B13)/ABS(B13)</f>
        <v>#DIV/0!</v>
      </c>
      <c r="H13" s="5"/>
    </row>
    <row r="14" spans="1:8">
      <c r="A14" s="5" t="s">
        <v>27</v>
      </c>
      <c r="B14" s="6">
        <v>10000</v>
      </c>
      <c r="C14" s="6">
        <v>0</v>
      </c>
      <c r="D14" s="6">
        <v>10000</v>
      </c>
      <c r="E14" s="6">
        <v>0</v>
      </c>
      <c r="F14" s="6">
        <v>10000</v>
      </c>
      <c r="G14" s="12">
        <f t="shared" ref="G14:G29" si="0">(F14-B14)/ABS(B14)</f>
        <v>0</v>
      </c>
      <c r="H14" s="5"/>
    </row>
    <row r="15" spans="1:8">
      <c r="A15" s="5"/>
      <c r="B15" s="6">
        <v>10000</v>
      </c>
      <c r="C15" s="6">
        <v>62317</v>
      </c>
      <c r="D15" s="6">
        <v>10000</v>
      </c>
      <c r="E15" s="6">
        <v>62317</v>
      </c>
      <c r="F15" s="6"/>
      <c r="G15" s="12">
        <f t="shared" si="0"/>
        <v>-1</v>
      </c>
      <c r="H15" s="5"/>
    </row>
    <row r="16" spans="1:8">
      <c r="B16" s="4"/>
      <c r="C16" s="4"/>
      <c r="D16" s="4"/>
      <c r="E16" s="4"/>
      <c r="G16" s="13"/>
    </row>
    <row r="17" spans="1:8">
      <c r="A17" s="5" t="s">
        <v>88</v>
      </c>
      <c r="B17" s="6"/>
      <c r="C17" s="6"/>
      <c r="D17" s="6"/>
      <c r="E17" s="6"/>
      <c r="F17" s="6"/>
      <c r="G17" s="12"/>
      <c r="H17" s="5"/>
    </row>
    <row r="18" spans="1:8">
      <c r="A18" s="5" t="s">
        <v>32</v>
      </c>
      <c r="B18" s="6">
        <v>-30030</v>
      </c>
      <c r="C18" s="6">
        <v>-11492.5</v>
      </c>
      <c r="D18" s="6">
        <v>-30030</v>
      </c>
      <c r="E18" s="6">
        <v>-11492.5</v>
      </c>
      <c r="F18" s="6">
        <v>30000</v>
      </c>
      <c r="G18" s="12">
        <f t="shared" si="0"/>
        <v>1.9990009990009989</v>
      </c>
      <c r="H18" s="5"/>
    </row>
    <row r="19" spans="1:8">
      <c r="A19" s="5" t="s">
        <v>33</v>
      </c>
      <c r="B19" s="6">
        <v>-3213</v>
      </c>
      <c r="C19" s="6">
        <v>-752.76</v>
      </c>
      <c r="D19" s="6">
        <v>-3213</v>
      </c>
      <c r="E19" s="6">
        <v>-752.76</v>
      </c>
      <c r="F19" s="6">
        <v>3200</v>
      </c>
      <c r="G19" s="12">
        <f t="shared" si="0"/>
        <v>1.9959539371304078</v>
      </c>
      <c r="H19" s="5"/>
    </row>
    <row r="20" spans="1:8">
      <c r="A20" s="5" t="s">
        <v>35</v>
      </c>
      <c r="B20" s="6">
        <v>-4708</v>
      </c>
      <c r="C20" s="6">
        <v>-1131</v>
      </c>
      <c r="D20" s="6">
        <v>-4708</v>
      </c>
      <c r="E20" s="6">
        <v>-1131</v>
      </c>
      <c r="F20" s="6">
        <v>5000</v>
      </c>
      <c r="G20" s="12">
        <f t="shared" si="0"/>
        <v>2.0620220900594735</v>
      </c>
      <c r="H20" s="5"/>
    </row>
    <row r="21" spans="1:8">
      <c r="A21" s="5" t="s">
        <v>46</v>
      </c>
      <c r="B21" s="6">
        <v>-1545</v>
      </c>
      <c r="C21" s="6">
        <v>-2445</v>
      </c>
      <c r="D21" s="6">
        <v>-1545</v>
      </c>
      <c r="E21" s="6">
        <v>-2445</v>
      </c>
      <c r="F21" s="6">
        <v>1500</v>
      </c>
      <c r="G21" s="12">
        <f t="shared" si="0"/>
        <v>1.970873786407767</v>
      </c>
      <c r="H21" s="5"/>
    </row>
    <row r="22" spans="1:8">
      <c r="A22" s="5" t="s">
        <v>47</v>
      </c>
      <c r="B22" s="6">
        <v>-9171.7999999999993</v>
      </c>
      <c r="C22" s="6">
        <v>0</v>
      </c>
      <c r="D22" s="6">
        <v>-9171.7999999999993</v>
      </c>
      <c r="E22" s="6">
        <v>0</v>
      </c>
      <c r="F22" s="6">
        <v>9200</v>
      </c>
      <c r="G22" s="12">
        <f t="shared" si="0"/>
        <v>2.003074641836935</v>
      </c>
      <c r="H22" s="5"/>
    </row>
    <row r="23" spans="1:8">
      <c r="A23" s="5" t="s">
        <v>48</v>
      </c>
      <c r="B23" s="6">
        <v>0</v>
      </c>
      <c r="C23" s="6">
        <v>-1811</v>
      </c>
      <c r="D23" s="6">
        <v>0</v>
      </c>
      <c r="E23" s="6">
        <v>-1811</v>
      </c>
      <c r="F23" s="6">
        <v>0</v>
      </c>
      <c r="G23" s="12" t="e">
        <f t="shared" si="0"/>
        <v>#DIV/0!</v>
      </c>
      <c r="H23" s="5"/>
    </row>
    <row r="24" spans="1:8">
      <c r="A24" s="5" t="s">
        <v>49</v>
      </c>
      <c r="B24" s="6">
        <v>0</v>
      </c>
      <c r="C24" s="6">
        <v>-5625</v>
      </c>
      <c r="D24" s="6">
        <v>0</v>
      </c>
      <c r="E24" s="6">
        <v>-5625</v>
      </c>
      <c r="F24" s="6">
        <v>0</v>
      </c>
      <c r="G24" s="12" t="e">
        <f t="shared" si="0"/>
        <v>#DIV/0!</v>
      </c>
      <c r="H24" s="5"/>
    </row>
    <row r="25" spans="1:8">
      <c r="A25" s="5" t="s">
        <v>51</v>
      </c>
      <c r="B25" s="6">
        <v>0</v>
      </c>
      <c r="C25" s="6">
        <v>-824</v>
      </c>
      <c r="D25" s="6">
        <v>0</v>
      </c>
      <c r="E25" s="6">
        <v>-824</v>
      </c>
      <c r="F25" s="6">
        <v>0</v>
      </c>
      <c r="G25" s="12" t="e">
        <f t="shared" si="0"/>
        <v>#DIV/0!</v>
      </c>
      <c r="H25" s="5"/>
    </row>
    <row r="26" spans="1:8">
      <c r="A26" s="5" t="s">
        <v>60</v>
      </c>
      <c r="B26" s="6">
        <v>-1500</v>
      </c>
      <c r="C26" s="6">
        <v>0</v>
      </c>
      <c r="D26" s="6">
        <v>-1500</v>
      </c>
      <c r="E26" s="6">
        <v>0</v>
      </c>
      <c r="F26" s="6">
        <v>1500</v>
      </c>
      <c r="G26" s="12">
        <f t="shared" si="0"/>
        <v>2</v>
      </c>
      <c r="H26" s="5"/>
    </row>
    <row r="27" spans="1:8">
      <c r="A27" s="5"/>
      <c r="B27" s="6">
        <v>-50167.8</v>
      </c>
      <c r="C27" s="6">
        <v>-24081.26</v>
      </c>
      <c r="D27" s="6">
        <v>-50167.8</v>
      </c>
      <c r="E27" s="6">
        <v>-24081.26</v>
      </c>
      <c r="F27" s="6"/>
      <c r="G27" s="12">
        <f t="shared" si="0"/>
        <v>1</v>
      </c>
      <c r="H27" s="5"/>
    </row>
    <row r="28" spans="1:8">
      <c r="B28" s="4"/>
      <c r="C28" s="4"/>
      <c r="D28" s="4"/>
      <c r="E28" s="4"/>
      <c r="G28" s="13"/>
    </row>
    <row r="29" spans="1:8">
      <c r="A29" s="5" t="s">
        <v>70</v>
      </c>
      <c r="B29" s="6">
        <v>-40167.800000000003</v>
      </c>
      <c r="C29" s="6">
        <v>38235.74</v>
      </c>
      <c r="D29" s="6">
        <v>-40167.800000000003</v>
      </c>
      <c r="E29" s="6">
        <v>38235.74</v>
      </c>
      <c r="F29" s="6">
        <f>SUM(F13:F15)-SUM(F18:F27)</f>
        <v>-40400</v>
      </c>
      <c r="G29" s="12">
        <f t="shared" si="0"/>
        <v>-5.7807497547786302E-3</v>
      </c>
      <c r="H29" s="5"/>
    </row>
    <row r="30" spans="1:8">
      <c r="B30" s="4"/>
      <c r="C30" s="4"/>
      <c r="D30" s="4"/>
      <c r="E30" s="4"/>
      <c r="G30" s="13"/>
    </row>
  </sheetData>
  <mergeCells count="2">
    <mergeCell ref="B9:E9"/>
    <mergeCell ref="F9:H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0D69C-990B-4177-A5C1-D31986154FFB}">
  <dimension ref="A1:H24"/>
  <sheetViews>
    <sheetView zoomScaleNormal="100" workbookViewId="0">
      <selection activeCell="F13" sqref="F13"/>
    </sheetView>
  </sheetViews>
  <sheetFormatPr defaultRowHeight="15"/>
  <cols>
    <col min="1" max="1" width="35.5703125" bestFit="1" customWidth="1"/>
    <col min="2" max="2" width="12.5703125" bestFit="1" customWidth="1"/>
    <col min="3" max="3" width="12" bestFit="1" customWidth="1"/>
    <col min="4" max="4" width="12.5703125" bestFit="1" customWidth="1"/>
    <col min="5" max="5" width="15.42578125" bestFit="1" customWidth="1"/>
    <col min="6" max="6" width="8.140625" bestFit="1" customWidth="1"/>
    <col min="7" max="7" width="9.7109375" bestFit="1" customWidth="1"/>
    <col min="8" max="8" width="11.28515625" bestFit="1" customWidth="1"/>
  </cols>
  <sheetData>
    <row r="1" spans="1:8">
      <c r="A1" t="s">
        <v>75</v>
      </c>
    </row>
    <row r="2" spans="1:8">
      <c r="A2" t="s">
        <v>76</v>
      </c>
    </row>
    <row r="3" spans="1:8">
      <c r="A3">
        <v>983069347</v>
      </c>
    </row>
    <row r="5" spans="1:8">
      <c r="A5" t="s">
        <v>77</v>
      </c>
    </row>
    <row r="6" spans="1:8">
      <c r="A6" t="s">
        <v>78</v>
      </c>
    </row>
    <row r="8" spans="1:8">
      <c r="A8" s="2" t="s">
        <v>101</v>
      </c>
    </row>
    <row r="9" spans="1:8">
      <c r="B9" s="21">
        <v>2025</v>
      </c>
      <c r="C9" s="21"/>
      <c r="D9" s="21"/>
      <c r="E9" s="21"/>
      <c r="F9" s="21">
        <v>2026</v>
      </c>
      <c r="G9" s="21"/>
      <c r="H9" s="21"/>
    </row>
    <row r="10" spans="1:8">
      <c r="B10" s="5" t="s">
        <v>80</v>
      </c>
      <c r="C10" s="5" t="s">
        <v>81</v>
      </c>
      <c r="D10" s="5" t="s">
        <v>82</v>
      </c>
      <c r="E10" s="5" t="s">
        <v>83</v>
      </c>
      <c r="F10" s="5" t="s">
        <v>84</v>
      </c>
      <c r="G10" s="5" t="s">
        <v>85</v>
      </c>
      <c r="H10" s="5" t="s">
        <v>11</v>
      </c>
    </row>
    <row r="12" spans="1:8">
      <c r="A12" s="5" t="s">
        <v>86</v>
      </c>
      <c r="B12" s="5"/>
      <c r="C12" s="5"/>
      <c r="D12" s="5"/>
      <c r="E12" s="5"/>
      <c r="F12" s="5"/>
      <c r="G12" s="5"/>
      <c r="H12" s="5"/>
    </row>
    <row r="13" spans="1:8">
      <c r="A13" s="5" t="s">
        <v>24</v>
      </c>
      <c r="B13" s="6">
        <v>6695.42</v>
      </c>
      <c r="C13" s="6">
        <v>0</v>
      </c>
      <c r="D13" s="6">
        <v>6695.42</v>
      </c>
      <c r="E13" s="6">
        <v>0</v>
      </c>
      <c r="F13" s="6"/>
      <c r="G13" s="12">
        <f>(F13-B13)/ABS(B13)</f>
        <v>-1</v>
      </c>
      <c r="H13" s="5"/>
    </row>
    <row r="14" spans="1:8">
      <c r="B14" s="4"/>
      <c r="C14" s="4"/>
      <c r="D14" s="4"/>
      <c r="E14" s="4"/>
      <c r="G14" s="13"/>
    </row>
    <row r="15" spans="1:8">
      <c r="A15" s="5" t="s">
        <v>88</v>
      </c>
      <c r="B15" s="6"/>
      <c r="C15" s="6"/>
      <c r="D15" s="6"/>
      <c r="E15" s="6"/>
      <c r="F15" s="6"/>
      <c r="G15" s="12"/>
      <c r="H15" s="5"/>
    </row>
    <row r="16" spans="1:8">
      <c r="A16" s="5" t="s">
        <v>48</v>
      </c>
      <c r="B16" s="6">
        <v>-16648.5</v>
      </c>
      <c r="C16" s="6">
        <v>0</v>
      </c>
      <c r="D16" s="6">
        <v>-16648.5</v>
      </c>
      <c r="E16" s="6">
        <v>0</v>
      </c>
      <c r="F16" s="6"/>
      <c r="G16" s="12">
        <f t="shared" ref="G16:G24" si="0">(F16-B16)/ABS(B16)</f>
        <v>1</v>
      </c>
      <c r="H16" s="5"/>
    </row>
    <row r="17" spans="1:8">
      <c r="B17" s="4"/>
      <c r="C17" s="4"/>
      <c r="D17" s="4"/>
      <c r="E17" s="4"/>
      <c r="G17" s="13"/>
    </row>
    <row r="18" spans="1:8">
      <c r="A18" s="5" t="s">
        <v>70</v>
      </c>
      <c r="B18" s="6">
        <v>-9953.08</v>
      </c>
      <c r="C18" s="6">
        <v>0</v>
      </c>
      <c r="D18" s="6">
        <v>-9953.08</v>
      </c>
      <c r="E18" s="6">
        <v>0</v>
      </c>
      <c r="F18" s="6"/>
      <c r="G18" s="12">
        <f t="shared" si="0"/>
        <v>1</v>
      </c>
      <c r="H18" s="5"/>
    </row>
    <row r="19" spans="1:8">
      <c r="B19" s="4"/>
      <c r="C19" s="4"/>
      <c r="D19" s="4"/>
      <c r="E19" s="4"/>
      <c r="G19" s="13"/>
    </row>
    <row r="20" spans="1:8">
      <c r="A20" s="5" t="s">
        <v>102</v>
      </c>
      <c r="B20" s="6">
        <v>-9953.08</v>
      </c>
      <c r="C20" s="6">
        <v>0</v>
      </c>
      <c r="D20" s="6">
        <v>-9953.08</v>
      </c>
      <c r="E20" s="6">
        <v>0</v>
      </c>
      <c r="F20" s="6"/>
      <c r="G20" s="12">
        <f t="shared" si="0"/>
        <v>1</v>
      </c>
      <c r="H20" s="5"/>
    </row>
    <row r="21" spans="1:8">
      <c r="B21" s="4"/>
      <c r="C21" s="4"/>
      <c r="D21" s="4"/>
      <c r="E21" s="4"/>
      <c r="G21" s="13"/>
    </row>
    <row r="22" spans="1:8">
      <c r="A22" s="5" t="s">
        <v>103</v>
      </c>
      <c r="B22" s="6">
        <v>-9953.08</v>
      </c>
      <c r="C22" s="6">
        <v>0</v>
      </c>
      <c r="D22" s="6">
        <v>-9953.08</v>
      </c>
      <c r="E22" s="6">
        <v>0</v>
      </c>
      <c r="F22" s="6"/>
      <c r="G22" s="12">
        <f t="shared" si="0"/>
        <v>1</v>
      </c>
      <c r="H22" s="5"/>
    </row>
    <row r="23" spans="1:8">
      <c r="B23" s="4"/>
      <c r="C23" s="4"/>
      <c r="D23" s="4"/>
      <c r="E23" s="4"/>
      <c r="G23" s="13"/>
    </row>
    <row r="24" spans="1:8">
      <c r="A24" s="5" t="s">
        <v>104</v>
      </c>
      <c r="B24" s="6">
        <v>-9953.08</v>
      </c>
      <c r="C24" s="6">
        <v>0</v>
      </c>
      <c r="D24" s="6">
        <v>-9953.08</v>
      </c>
      <c r="E24" s="6">
        <v>0</v>
      </c>
      <c r="F24" s="6"/>
      <c r="G24" s="12">
        <f t="shared" si="0"/>
        <v>1</v>
      </c>
      <c r="H24" s="5"/>
    </row>
  </sheetData>
  <mergeCells count="2">
    <mergeCell ref="B9:E9"/>
    <mergeCell ref="F9:H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Mads Eide</dc:creator>
  <cp:keywords/>
  <dc:description/>
  <cp:lastModifiedBy>Marte Eckermann Heggedal</cp:lastModifiedBy>
  <cp:revision/>
  <dcterms:created xsi:type="dcterms:W3CDTF">2026-02-24T15:28:23Z</dcterms:created>
  <dcterms:modified xsi:type="dcterms:W3CDTF">2026-03-17T19:26:39Z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7a9721a-29a0-454a-807e-15a574da9619_Enabled">
    <vt:lpwstr>true</vt:lpwstr>
  </property>
  <property fmtid="{D5CDD505-2E9C-101B-9397-08002B2CF9AE}" pid="3" name="MSIP_Label_37a9721a-29a0-454a-807e-15a574da9619_SetDate">
    <vt:lpwstr>2026-02-24T19:17:41Z</vt:lpwstr>
  </property>
  <property fmtid="{D5CDD505-2E9C-101B-9397-08002B2CF9AE}" pid="4" name="MSIP_Label_37a9721a-29a0-454a-807e-15a574da9619_Method">
    <vt:lpwstr>Standard</vt:lpwstr>
  </property>
  <property fmtid="{D5CDD505-2E9C-101B-9397-08002B2CF9AE}" pid="5" name="MSIP_Label_37a9721a-29a0-454a-807e-15a574da9619_Name">
    <vt:lpwstr>37a9721a-29a0-454a-807e-15a574da9619</vt:lpwstr>
  </property>
  <property fmtid="{D5CDD505-2E9C-101B-9397-08002B2CF9AE}" pid="6" name="MSIP_Label_37a9721a-29a0-454a-807e-15a574da9619_SiteId">
    <vt:lpwstr>dfbb0d3b-8276-4581-97a4-2b844a84ea35</vt:lpwstr>
  </property>
  <property fmtid="{D5CDD505-2E9C-101B-9397-08002B2CF9AE}" pid="7" name="MSIP_Label_37a9721a-29a0-454a-807e-15a574da9619_ActionId">
    <vt:lpwstr>bad103b7-aa89-4419-b24b-2efc95ea5dec</vt:lpwstr>
  </property>
  <property fmtid="{D5CDD505-2E9C-101B-9397-08002B2CF9AE}" pid="8" name="MSIP_Label_37a9721a-29a0-454a-807e-15a574da9619_ContentBits">
    <vt:lpwstr>0</vt:lpwstr>
  </property>
  <property fmtid="{D5CDD505-2E9C-101B-9397-08002B2CF9AE}" pid="9" name="MSIP_Label_37a9721a-29a0-454a-807e-15a574da9619_Tag">
    <vt:lpwstr>10, 3, 0, 1</vt:lpwstr>
  </property>
</Properties>
</file>